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drawings/drawing4.xml" ContentType="application/vnd.openxmlformats-officedocument.drawing+xml"/>
  <Override PartName="/xl/ctrlProps/ctrlProp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DieseArbeitsmappe" defaultThemeVersion="166925"/>
  <mc:AlternateContent xmlns:mc="http://schemas.openxmlformats.org/markup-compatibility/2006">
    <mc:Choice Requires="x15">
      <x15ac:absPath xmlns:x15ac="http://schemas.microsoft.com/office/spreadsheetml/2010/11/ac" url="Z:\14_QM\141_Q\50_SQ_Supplier Quality\5001_Mitarbeiter\01_Marvin Pliet\Formulare\fertig\"/>
    </mc:Choice>
  </mc:AlternateContent>
  <xr:revisionPtr revIDLastSave="0" documentId="13_ncr:1_{D7A6EFA6-C6B4-4BEE-A105-05A29254E3FE}" xr6:coauthVersionLast="47" xr6:coauthVersionMax="47" xr10:uidLastSave="{00000000-0000-0000-0000-000000000000}"/>
  <bookViews>
    <workbookView xWindow="-120" yWindow="-120" windowWidth="29040" windowHeight="15840" tabRatio="905" xr2:uid="{351F4B0F-ABA7-4F09-AB5C-8C24416C7C8A}"/>
  </bookViews>
  <sheets>
    <sheet name="Lieferanten_A4" sheetId="23" r:id="rId1"/>
    <sheet name="Beispiel #1" sheetId="24" r:id="rId2"/>
    <sheet name="Beispiel #2" sheetId="25" r:id="rId3"/>
    <sheet name="Beispiel #3" sheetId="26" r:id="rId4"/>
    <sheet name="Language" sheetId="27" state="hidden" r:id="rId5"/>
    <sheet name="#Self-Assessment_A4" sheetId="29" r:id="rId6"/>
  </sheets>
  <externalReferences>
    <externalReference r:id="rId7"/>
    <externalReference r:id="rId8"/>
    <externalReference r:id="rId9"/>
  </externalReferences>
  <definedNames>
    <definedName name="Abschlussbericht" localSheetId="5">#REF!</definedName>
    <definedName name="Abschlussbericht">#REF!</definedName>
    <definedName name="Anforderungen" localSheetId="5">#REF!</definedName>
    <definedName name="Anforderungen">#REF!</definedName>
    <definedName name="Anforderungen2">#REF!</definedName>
    <definedName name="Beanstandungstitel">#REF!</definedName>
    <definedName name="bent_pin__CRC">#REF!</definedName>
    <definedName name="Bild_Flagge">INDIRECT("Language!H"&amp;Language!$B$2)</definedName>
    <definedName name="bmCheck" localSheetId="5">#REF!</definedName>
    <definedName name="bmCheck">#REF!</definedName>
    <definedName name="bmComments" localSheetId="5">#REF!</definedName>
    <definedName name="bmComments">#REF!</definedName>
    <definedName name="bmCompleted" localSheetId="5">#REF!</definedName>
    <definedName name="bmCompleted">#REF!</definedName>
    <definedName name="bmDeadline">#REF!</definedName>
    <definedName name="bmGreen">#REF!</definedName>
    <definedName name="bmGreen2">#REF!</definedName>
    <definedName name="bmImplementation">#REF!</definedName>
    <definedName name="bmManager">#REF!</definedName>
    <definedName name="bmNo">#REF!</definedName>
    <definedName name="bmPackage">#REF!</definedName>
    <definedName name="bmProject">#REF!</definedName>
    <definedName name="bmRed">#REF!</definedName>
    <definedName name="bmRed2">#REF!</definedName>
    <definedName name="bmResponsible">#REF!</definedName>
    <definedName name="bmStatus">#REF!</definedName>
    <definedName name="bmStatusDD">#REF!</definedName>
    <definedName name="bmTask">#REF!</definedName>
    <definedName name="bmTitle">#REF!</definedName>
    <definedName name="bmToday">#REF!</definedName>
    <definedName name="bmWhite">#REF!</definedName>
    <definedName name="bmYellow">#REF!</definedName>
    <definedName name="bmYellow2">#REF!</definedName>
    <definedName name="D10_1_1" hidden="1">#REF!</definedName>
    <definedName name="D10_1_1_S1" hidden="1">#REF!</definedName>
    <definedName name="D11_1_1" hidden="1">#REF!</definedName>
    <definedName name="D11_1_1_S1" hidden="1">#REF!</definedName>
    <definedName name="D11_1_1_S2" hidden="1">#REF!</definedName>
    <definedName name="D11_1_1_S3" hidden="1">#REF!</definedName>
    <definedName name="D12_3_1" hidden="1">#REF!</definedName>
    <definedName name="D12_3_1_S1" hidden="1">#REF!</definedName>
    <definedName name="D12_3_1_S2" hidden="1">#REF!</definedName>
    <definedName name="D12_3_1_S3" hidden="1">#REF!</definedName>
    <definedName name="D20_2_1" hidden="1">#REF!</definedName>
    <definedName name="D20_2_1_S1" hidden="1">#REF!</definedName>
    <definedName name="D20_2_1_S2" localSheetId="5" hidden="1">#REF!</definedName>
    <definedName name="D20_2_1_S2" hidden="1">'[1]#8D Report'!#REF!</definedName>
    <definedName name="D20_2_1_S3" hidden="1">#REF!</definedName>
    <definedName name="D20_2_1_S4" hidden="1">#REF!</definedName>
    <definedName name="D20_2_1_S5" hidden="1">#REF!</definedName>
    <definedName name="D20_2_1_S6" hidden="1">#REF!</definedName>
    <definedName name="D20_2_1_S7" hidden="1">#REF!</definedName>
    <definedName name="D20_2_1_S8" hidden="1">#REF!</definedName>
    <definedName name="D20_2_1_S9" hidden="1">#REF!</definedName>
    <definedName name="D30_3_1" hidden="1">#REF!</definedName>
    <definedName name="D30_3_1_S1" localSheetId="5" hidden="1">#REF!</definedName>
    <definedName name="D30_3_1_S1" hidden="1">'[1]#8D Report'!#REF!</definedName>
    <definedName name="D30_3_1_S2" hidden="1">#REF!</definedName>
    <definedName name="D30_3_1_S3" localSheetId="5" hidden="1">#REF!</definedName>
    <definedName name="D30_3_1_S3" hidden="1">'[1]#8D Report'!#REF!</definedName>
    <definedName name="D30_3_1_S4" localSheetId="5" hidden="1">#REF!</definedName>
    <definedName name="D30_3_1_S4" hidden="1">'[1]#8D Report'!#REF!</definedName>
    <definedName name="D30_3_1_S5" localSheetId="5" hidden="1">#REF!</definedName>
    <definedName name="D30_3_1_S5" hidden="1">'[1]#8D Report'!#REF!</definedName>
    <definedName name="D30_3_1_S6" localSheetId="5" hidden="1">#REF!</definedName>
    <definedName name="D30_3_1_S6" hidden="1">'[1]#8D Report'!#REF!</definedName>
    <definedName name="D30_3_1_S7" localSheetId="5" hidden="1">#REF!</definedName>
    <definedName name="D30_3_1_S7" hidden="1">'[1]#8D Report'!#REF!</definedName>
    <definedName name="D40_3_1" hidden="1">#REF!</definedName>
    <definedName name="D40_3_1_S1" hidden="1">#REF!</definedName>
    <definedName name="D40_3_1_S2" hidden="1">#REF!</definedName>
    <definedName name="D41_3_1" hidden="1">#REF!</definedName>
    <definedName name="D41_3_1_S1" hidden="1">#REF!</definedName>
    <definedName name="D41_3_1_S2" localSheetId="5" hidden="1">#REF!</definedName>
    <definedName name="D41_3_1_S2" hidden="1">'[1]#8D Report'!#REF!</definedName>
    <definedName name="D41_3_1_S3" hidden="1">#REF!</definedName>
    <definedName name="D41_3_1_S4" hidden="1">#REF!</definedName>
    <definedName name="D42_3_1" hidden="1">#REF!</definedName>
    <definedName name="D42_3_1_S1" hidden="1">#REF!</definedName>
    <definedName name="D42_3_1_S2" hidden="1">#REF!</definedName>
    <definedName name="D42_3_1_S3" hidden="1">#REF!</definedName>
    <definedName name="D42_3_1_S4" hidden="1">#REF!</definedName>
    <definedName name="D43_3_1" hidden="1">#REF!</definedName>
    <definedName name="D43_3_1_S1" hidden="1">#REF!</definedName>
    <definedName name="D43_3_1_S2" hidden="1">#REF!</definedName>
    <definedName name="D43_3_1_S3" hidden="1">#REF!</definedName>
    <definedName name="D43_3_1_S4" hidden="1">#REF!</definedName>
    <definedName name="D43_3_1_S5" hidden="1">#REF!</definedName>
    <definedName name="D43_3_1_S6" hidden="1">#REF!</definedName>
    <definedName name="D43_3_1_S7" hidden="1">#REF!</definedName>
    <definedName name="D43_3_1_S8" hidden="1">#REF!</definedName>
    <definedName name="D43_3_1_S9" hidden="1">#REF!</definedName>
    <definedName name="D50_3_1" hidden="1">#REF!</definedName>
    <definedName name="D50_3_1_S1" hidden="1">#REF!</definedName>
    <definedName name="D50_3_1_S2" localSheetId="5" hidden="1">#REF!</definedName>
    <definedName name="D50_3_1_S2" hidden="1">'[1]#8D Report'!#REF!</definedName>
    <definedName name="D50_3_1_S3" localSheetId="5" hidden="1">#REF!</definedName>
    <definedName name="D50_3_1_S3" hidden="1">'[1]#8D Report'!#REF!</definedName>
    <definedName name="D50_3_1_S4" localSheetId="5" hidden="1">#REF!</definedName>
    <definedName name="D50_3_1_S4" hidden="1">'[1]#8D Report'!#REF!</definedName>
    <definedName name="D60_3_1" hidden="1">#REF!</definedName>
    <definedName name="D60_3_1_S1" hidden="1">#REF!</definedName>
    <definedName name="D60_3_1_S2" localSheetId="5" hidden="1">#REF!</definedName>
    <definedName name="D60_3_1_S2" hidden="1">'[1]#8D Report'!#REF!</definedName>
    <definedName name="D60_3_1_S3" localSheetId="5" hidden="1">#REF!</definedName>
    <definedName name="D60_3_1_S3" hidden="1">'[1]#8D Report'!#REF!</definedName>
    <definedName name="D60_3_1_S4" localSheetId="5" hidden="1">#REF!</definedName>
    <definedName name="D60_3_1_S4" hidden="1">'[1]#8D Report'!#REF!</definedName>
    <definedName name="D60_3_1_S5" localSheetId="5" hidden="1">#REF!</definedName>
    <definedName name="D60_3_1_S5" hidden="1">'[1]#8D Report'!#REF!</definedName>
    <definedName name="D60_3_1_S6" localSheetId="5" hidden="1">#REF!</definedName>
    <definedName name="D60_3_1_S6" hidden="1">'[1]#8D Report'!#REF!</definedName>
    <definedName name="D60_3_1_S7" localSheetId="5" hidden="1">#REF!</definedName>
    <definedName name="D60_3_1_S7" hidden="1">'[1]#8D Report'!#REF!</definedName>
    <definedName name="D60_3_1_S8" localSheetId="5" hidden="1">#REF!</definedName>
    <definedName name="D60_3_1_S8" hidden="1">'[1]#8D Report'!#REF!</definedName>
    <definedName name="D61_3_1" hidden="1">#REF!</definedName>
    <definedName name="D61_3_1_S1" hidden="1">#REF!</definedName>
    <definedName name="D61_3_1_S2" hidden="1">#REF!</definedName>
    <definedName name="D61_3_1_S3" hidden="1">#REF!</definedName>
    <definedName name="D61_3_1_S4" hidden="1">#REF!</definedName>
    <definedName name="D62_3_1" hidden="1">#REF!</definedName>
    <definedName name="D62_3_1_S1" hidden="1">#REF!</definedName>
    <definedName name="D62_3_1_S2" hidden="1">#REF!</definedName>
    <definedName name="D62_3_1_S3" hidden="1">#REF!</definedName>
    <definedName name="D70_3_1" hidden="1">#REF!</definedName>
    <definedName name="D70_3_1_S1" hidden="1">#REF!</definedName>
    <definedName name="D70_3_1_S2" hidden="1">#REF!</definedName>
    <definedName name="D70_3_1_S3" hidden="1">#REF!</definedName>
    <definedName name="D70_3_1_S4" hidden="1">#REF!</definedName>
    <definedName name="D70_3_1_S5" hidden="1">#REF!</definedName>
    <definedName name="D71_3_1" hidden="1">#REF!</definedName>
    <definedName name="D71_3_1_S1" hidden="1">#REF!</definedName>
    <definedName name="D71_3_1_S2" hidden="1">#REF!</definedName>
    <definedName name="D72_3_1" hidden="1">#REF!</definedName>
    <definedName name="D72_3_1_S1" hidden="1">#REF!</definedName>
    <definedName name="D72_3_1_S2" hidden="1">#REF!</definedName>
    <definedName name="D72_3_1_S3" hidden="1">#REF!</definedName>
    <definedName name="D72_3_1_S4" hidden="1">#REF!</definedName>
    <definedName name="D72_3_1_S5" hidden="1">#REF!</definedName>
    <definedName name="D80_3_1" hidden="1">#REF!</definedName>
    <definedName name="D80_3_1_S1" hidden="1">#REF!</definedName>
    <definedName name="D80_3_1_S2" hidden="1">#REF!</definedName>
    <definedName name="D80_3_1_S3" hidden="1">#REF!</definedName>
    <definedName name="D80_3_1_x1" hidden="1">#REF!</definedName>
    <definedName name="D81_3_1" hidden="1">#REF!</definedName>
    <definedName name="D81_3_1_S1" hidden="1">#REF!</definedName>
    <definedName name="D81_3_1_S2" hidden="1">#REF!</definedName>
    <definedName name="dedvcerc" localSheetId="5" hidden="1">#REF!</definedName>
    <definedName name="dedvcerc" hidden="1">'[1]#8D Report'!#REF!</definedName>
    <definedName name="_xlnm.Print_Area" localSheetId="5">'#Self-Assessment_A4'!$A$1:$P$40</definedName>
    <definedName name="_xlnm.Print_Area" localSheetId="1">'Beispiel #1'!$A$2:$P$46</definedName>
    <definedName name="_xlnm.Print_Area" localSheetId="2">'Beispiel #2'!$A$2:$P$46</definedName>
    <definedName name="_xlnm.Print_Area" localSheetId="3">'Beispiel #3'!$A$2:$P$46</definedName>
    <definedName name="_xlnm.Print_Area" localSheetId="0">Lieferanten_A4!$A$2:$P$46</definedName>
    <definedName name="HE0_1_1" hidden="1">#REF!</definedName>
    <definedName name="HE0_1_1_S1" hidden="1">#REF!</definedName>
    <definedName name="HE0_1_1_S10" localSheetId="5" hidden="1">#REF!</definedName>
    <definedName name="HE0_1_1_S10" hidden="1">'[1]#8D Report'!#REF!</definedName>
    <definedName name="HE0_1_1_S11" localSheetId="5" hidden="1">#REF!</definedName>
    <definedName name="HE0_1_1_S11" hidden="1">'[1]#8D Report'!#REF!</definedName>
    <definedName name="HE0_1_1_S12" localSheetId="5" hidden="1">#REF!</definedName>
    <definedName name="HE0_1_1_S12" hidden="1">'[1]#8D Report'!#REF!</definedName>
    <definedName name="HE0_1_1_S13" localSheetId="5" hidden="1">#REF!</definedName>
    <definedName name="HE0_1_1_S13" hidden="1">'[1]#8D Report'!#REF!</definedName>
    <definedName name="HE0_1_1_S14" localSheetId="5" hidden="1">#REF!</definedName>
    <definedName name="HE0_1_1_S14" hidden="1">'[1]#8D Report'!#REF!</definedName>
    <definedName name="HE0_1_1_S15" localSheetId="5" hidden="1">#REF!</definedName>
    <definedName name="HE0_1_1_S15" hidden="1">'[1]#8D Report'!#REF!</definedName>
    <definedName name="HE0_1_1_S2" hidden="1">#REF!</definedName>
    <definedName name="HE0_1_1_S3" hidden="1">#REF!</definedName>
    <definedName name="HE0_1_1_S4" localSheetId="5" hidden="1">#REF!</definedName>
    <definedName name="HE0_1_1_S4" hidden="1">'[1]#8D Report'!#REF!</definedName>
    <definedName name="HE0_1_1_S5" localSheetId="5" hidden="1">#REF!</definedName>
    <definedName name="HE0_1_1_S5" hidden="1">'[1]#8D Report'!#REF!</definedName>
    <definedName name="HE0_1_1_S6" localSheetId="5" hidden="1">#REF!</definedName>
    <definedName name="HE0_1_1_S6" hidden="1">'[1]#8D Report'!#REF!</definedName>
    <definedName name="HE0_1_1_S7" localSheetId="5" hidden="1">#REF!</definedName>
    <definedName name="HE0_1_1_S7" hidden="1">'[1]#8D Report'!#REF!</definedName>
    <definedName name="HE0_1_1_S8" localSheetId="5" hidden="1">#REF!</definedName>
    <definedName name="HE0_1_1_S8" hidden="1">'[1]#8D Report'!#REF!</definedName>
    <definedName name="HE0_1_1_S9" localSheetId="5" hidden="1">#REF!</definedName>
    <definedName name="HE0_1_1_S9" hidden="1">'[1]#8D Report'!#REF!</definedName>
    <definedName name="HE1_1_1" hidden="1">#REF!</definedName>
    <definedName name="HE1_1_1_S1" hidden="1">#REF!</definedName>
    <definedName name="HE1_1_1_S2" localSheetId="5" hidden="1">#REF!</definedName>
    <definedName name="HE1_1_1_S2" hidden="1">'[1]#8D Report'!#REF!</definedName>
    <definedName name="HE1_1_1_S3" hidden="1">#REF!</definedName>
    <definedName name="HE1_1_1_S4" hidden="1">#REF!</definedName>
    <definedName name="HE1_1_1_S5" localSheetId="5" hidden="1">#REF!</definedName>
    <definedName name="HE1_1_1_S5" hidden="1">'[1]#8D Report'!#REF!</definedName>
    <definedName name="HE2_1_1" hidden="1">#REF!</definedName>
    <definedName name="HE2_1_1_S1" hidden="1">#REF!</definedName>
    <definedName name="HE2_1_1_S2" localSheetId="5" hidden="1">#REF!</definedName>
    <definedName name="HE2_1_1_S2" hidden="1">'[1]#8D Report'!#REF!</definedName>
    <definedName name="HE2_1_1_S3" hidden="1">#REF!</definedName>
    <definedName name="HE2_1_1_S4" hidden="1">#REF!</definedName>
    <definedName name="HE2_1_1_S5" localSheetId="5" hidden="1">#REF!</definedName>
    <definedName name="HE2_1_1_S5" hidden="1">'[1]#8D Report'!#REF!</definedName>
    <definedName name="Neuaustellung" localSheetId="5">#REF!</definedName>
    <definedName name="Neuaustellung">#REF!</definedName>
    <definedName name="Print_Titles" localSheetId="5">#REF!</definedName>
    <definedName name="Print_Titles">#REF!</definedName>
    <definedName name="Prüfumfang" localSheetId="5">#REF!</definedName>
    <definedName name="Prüfumfang">#REF!</definedName>
    <definedName name="QCNR">#REF!</definedName>
    <definedName name="Repetitive">#REF!</definedName>
    <definedName name="Schwerpunkte">[2]Schwerpunkte!$A$1:$A$65536</definedName>
    <definedName name="Score_CM1" localSheetId="5">#REF!</definedName>
    <definedName name="Score_CM1">#REF!</definedName>
    <definedName name="Score_CM2" localSheetId="5">#REF!</definedName>
    <definedName name="Score_CM2">#REF!</definedName>
    <definedName name="Score_CMC" localSheetId="5">#REF!</definedName>
    <definedName name="Score_CMC">#REF!</definedName>
    <definedName name="Score_Others">#REF!</definedName>
    <definedName name="Score_RC1">#REF!</definedName>
    <definedName name="Score_RC2">#REF!</definedName>
    <definedName name="Score_SignOff">#REF!</definedName>
    <definedName name="Score_Update_QM">#REF!</definedName>
    <definedName name="sferfrewf" localSheetId="5" hidden="1">#REF!</definedName>
    <definedName name="sferfrewf" hidden="1">'[1]#8D Report'!#REF!</definedName>
    <definedName name="Stichprobe" localSheetId="5">#REF!</definedName>
    <definedName name="Stichprobe">#REF!</definedName>
    <definedName name="syd" localSheetId="5">#REF!</definedName>
    <definedName name="syd">#REF!</definedName>
    <definedName name="VP" localSheetId="5">#REF!</definedName>
    <definedName name="VP">#REF!</definedName>
    <definedName name="wedwedwedwed" localSheetId="5" hidden="1">#REF!</definedName>
    <definedName name="wedwedwedwed" hidden="1">'[1]#8D Report'!#REF!</definedName>
    <definedName name="werfwef" localSheetId="5">#REF!</definedName>
    <definedName name="werfwef">#REF!</definedName>
    <definedName name="Werte">[3]Tabelle1!$D$1:$D$7</definedName>
    <definedName name="Zwischenbericht" localSheetId="5">#REF!</definedName>
    <definedName name="Zwischenberich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27" l="1"/>
  <c r="A8" i="27"/>
  <c r="T22" i="23"/>
  <c r="N8" i="23"/>
  <c r="L8" i="23"/>
  <c r="C22" i="25"/>
  <c r="I35" i="29"/>
  <c r="H9" i="23"/>
  <c r="A4" i="23"/>
  <c r="M2" i="26"/>
  <c r="M2" i="25"/>
  <c r="M2" i="24"/>
  <c r="M2" i="23"/>
  <c r="L4" i="25"/>
  <c r="C25" i="26" l="1"/>
  <c r="O37" i="26"/>
  <c r="A2" i="23"/>
  <c r="C42" i="26"/>
  <c r="H11" i="26"/>
  <c r="C35" i="24"/>
  <c r="D37" i="25"/>
  <c r="C42" i="24"/>
  <c r="O27" i="26"/>
  <c r="O38" i="26"/>
  <c r="C7" i="26"/>
  <c r="H9" i="24"/>
  <c r="H11" i="25"/>
  <c r="N7" i="26"/>
  <c r="H19" i="24"/>
  <c r="C25" i="25"/>
  <c r="C35" i="26"/>
  <c r="A6" i="24"/>
  <c r="O37" i="25"/>
  <c r="O28" i="26"/>
  <c r="O39" i="26"/>
  <c r="A2" i="24"/>
  <c r="C7" i="25"/>
  <c r="H9" i="26"/>
  <c r="C13" i="24"/>
  <c r="N7" i="25"/>
  <c r="H19" i="26"/>
  <c r="O25" i="24"/>
  <c r="C35" i="25"/>
  <c r="A6" i="26"/>
  <c r="C38" i="24"/>
  <c r="C42" i="25"/>
  <c r="D35" i="26"/>
  <c r="D43" i="26"/>
  <c r="A2" i="25"/>
  <c r="H17" i="25"/>
  <c r="H19" i="25"/>
  <c r="C44" i="24"/>
  <c r="D36" i="26"/>
  <c r="C19" i="23"/>
  <c r="A2" i="26"/>
  <c r="C13" i="26"/>
  <c r="C36" i="24"/>
  <c r="O25" i="25"/>
  <c r="L4" i="23"/>
  <c r="N7" i="24"/>
  <c r="H9" i="25"/>
  <c r="O25" i="26"/>
  <c r="C11" i="24"/>
  <c r="M37" i="26"/>
  <c r="C9" i="25"/>
  <c r="C17" i="24"/>
  <c r="A6" i="25"/>
  <c r="C13" i="25"/>
  <c r="C21" i="24"/>
  <c r="M37" i="24"/>
  <c r="C44" i="26"/>
  <c r="C19" i="26"/>
  <c r="H7" i="25"/>
  <c r="L7" i="24"/>
  <c r="D34" i="24"/>
  <c r="C39" i="24"/>
  <c r="D39" i="26"/>
  <c r="L4" i="24"/>
  <c r="C9" i="24"/>
  <c r="C11" i="25"/>
  <c r="L7" i="26"/>
  <c r="H17" i="24"/>
  <c r="C21" i="25"/>
  <c r="D34" i="26"/>
  <c r="D37" i="24"/>
  <c r="M37" i="25"/>
  <c r="C39" i="26"/>
  <c r="C28" i="26"/>
  <c r="M38" i="26"/>
  <c r="C19" i="24"/>
  <c r="A4" i="25"/>
  <c r="L4" i="26"/>
  <c r="H7" i="24"/>
  <c r="C38" i="26"/>
  <c r="H7" i="26"/>
  <c r="C17" i="26"/>
  <c r="C36" i="26"/>
  <c r="C38" i="25"/>
  <c r="D38" i="26"/>
  <c r="C11" i="26"/>
  <c r="C17" i="25"/>
  <c r="C21" i="26"/>
  <c r="C36" i="25"/>
  <c r="C44" i="25"/>
  <c r="C19" i="25"/>
  <c r="A4" i="24"/>
  <c r="C9" i="26"/>
  <c r="H11" i="24"/>
  <c r="L7" i="25"/>
  <c r="H17" i="26"/>
  <c r="C25" i="24"/>
  <c r="D34" i="25"/>
  <c r="D37" i="26"/>
  <c r="O37" i="24"/>
  <c r="C39" i="25"/>
  <c r="O26" i="26"/>
  <c r="M39" i="26"/>
  <c r="C7" i="24"/>
  <c r="A4" i="26"/>
  <c r="C7" i="23"/>
  <c r="T45" i="25"/>
  <c r="T44" i="25"/>
  <c r="W43" i="25"/>
  <c r="T42" i="25"/>
  <c r="AF39" i="25"/>
  <c r="AD39" i="25"/>
  <c r="U39" i="25"/>
  <c r="T39" i="25"/>
  <c r="AF38" i="25"/>
  <c r="AD38" i="25"/>
  <c r="U38" i="25"/>
  <c r="T38" i="25"/>
  <c r="AF37" i="25"/>
  <c r="AD37" i="25"/>
  <c r="U37" i="25"/>
  <c r="U36" i="25"/>
  <c r="T36" i="25"/>
  <c r="U35" i="25"/>
  <c r="T35" i="25"/>
  <c r="U34" i="25"/>
  <c r="AF26" i="25"/>
  <c r="T26" i="25"/>
  <c r="AF25" i="25"/>
  <c r="T25" i="25"/>
  <c r="T22" i="25"/>
  <c r="T21" i="25"/>
  <c r="AE7" i="25"/>
  <c r="AC7" i="25"/>
  <c r="S7" i="25"/>
  <c r="R6" i="25"/>
  <c r="AC5" i="25"/>
  <c r="AC4" i="25"/>
  <c r="R4" i="25"/>
  <c r="R2" i="25"/>
  <c r="T45" i="26"/>
  <c r="T44" i="26"/>
  <c r="W43" i="26"/>
  <c r="T42" i="26"/>
  <c r="AF39" i="26"/>
  <c r="AD39" i="26"/>
  <c r="U39" i="26"/>
  <c r="T39" i="26"/>
  <c r="AF38" i="26"/>
  <c r="AD38" i="26"/>
  <c r="U38" i="26"/>
  <c r="T38" i="26"/>
  <c r="AF37" i="26"/>
  <c r="AD37" i="26"/>
  <c r="U37" i="26"/>
  <c r="U36" i="26"/>
  <c r="T36" i="26"/>
  <c r="U35" i="26"/>
  <c r="T35" i="26"/>
  <c r="U34" i="26"/>
  <c r="AF26" i="26"/>
  <c r="T26" i="26"/>
  <c r="AF25" i="26"/>
  <c r="T25" i="26"/>
  <c r="T22" i="26"/>
  <c r="T21" i="26"/>
  <c r="AE7" i="26"/>
  <c r="AC7" i="26"/>
  <c r="S7" i="26"/>
  <c r="R6" i="26"/>
  <c r="AC5" i="26"/>
  <c r="AC4" i="26"/>
  <c r="R4" i="26"/>
  <c r="R2" i="26"/>
  <c r="T45" i="24"/>
  <c r="T44" i="24"/>
  <c r="W43" i="24"/>
  <c r="T42" i="24"/>
  <c r="AF39" i="24"/>
  <c r="AD39" i="24"/>
  <c r="U39" i="24"/>
  <c r="T39" i="24"/>
  <c r="AF38" i="24"/>
  <c r="AD38" i="24"/>
  <c r="U38" i="24"/>
  <c r="T38" i="24"/>
  <c r="AF37" i="24"/>
  <c r="AD37" i="24"/>
  <c r="U37" i="24"/>
  <c r="U36" i="24"/>
  <c r="T36" i="24"/>
  <c r="U35" i="24"/>
  <c r="T35" i="24"/>
  <c r="U34" i="24"/>
  <c r="AF26" i="24"/>
  <c r="T26" i="24"/>
  <c r="AF25" i="24"/>
  <c r="T25" i="24"/>
  <c r="T22" i="24"/>
  <c r="T21" i="24"/>
  <c r="AE7" i="24"/>
  <c r="AC7" i="24"/>
  <c r="S7" i="24"/>
  <c r="R6" i="24"/>
  <c r="AC5" i="24"/>
  <c r="AC4" i="24"/>
  <c r="R4" i="24"/>
  <c r="R2" i="24"/>
  <c r="R2" i="23"/>
  <c r="C27" i="26"/>
  <c r="C26" i="26"/>
  <c r="C22" i="26"/>
  <c r="C14" i="26"/>
  <c r="C10" i="26"/>
  <c r="H8" i="26"/>
  <c r="D43" i="25"/>
  <c r="O39" i="25"/>
  <c r="O38" i="25"/>
  <c r="M39" i="25"/>
  <c r="M38" i="25"/>
  <c r="D39" i="25"/>
  <c r="D38" i="25"/>
  <c r="D36" i="25"/>
  <c r="D35" i="25"/>
  <c r="O28" i="25"/>
  <c r="O27" i="25"/>
  <c r="O26" i="25"/>
  <c r="C28" i="25"/>
  <c r="C27" i="25"/>
  <c r="C26" i="25"/>
  <c r="C14" i="25"/>
  <c r="H18" i="25"/>
  <c r="C10" i="25"/>
  <c r="H8" i="25"/>
  <c r="H18" i="26"/>
  <c r="H18" i="24"/>
  <c r="D43" i="24"/>
  <c r="O39" i="24"/>
  <c r="O38" i="24"/>
  <c r="M39" i="24"/>
  <c r="M38" i="24"/>
  <c r="D39" i="24"/>
  <c r="D38" i="24"/>
  <c r="D36" i="24"/>
  <c r="D35" i="24"/>
  <c r="O29" i="24"/>
  <c r="O28" i="24"/>
  <c r="O27" i="24"/>
  <c r="O26" i="24"/>
  <c r="C29" i="24"/>
  <c r="C28" i="24"/>
  <c r="C27" i="24"/>
  <c r="C26" i="24"/>
  <c r="C22" i="24"/>
  <c r="C14" i="24"/>
  <c r="C10" i="24"/>
  <c r="C8" i="24"/>
  <c r="H8" i="24"/>
  <c r="R6" i="23" l="1"/>
  <c r="T21" i="23"/>
  <c r="T45" i="23"/>
  <c r="W43" i="23" l="1"/>
  <c r="AF39" i="23"/>
  <c r="AD39" i="23"/>
  <c r="U39" i="23"/>
  <c r="AF38" i="23"/>
  <c r="AD38" i="23"/>
  <c r="U38" i="23"/>
  <c r="U36" i="23"/>
  <c r="U35" i="23"/>
  <c r="AF26" i="23"/>
  <c r="T26" i="23"/>
  <c r="AC5" i="23"/>
  <c r="S7" i="23"/>
  <c r="T39" i="23" l="1"/>
  <c r="T38" i="23"/>
  <c r="T44" i="23" l="1"/>
  <c r="T42" i="23"/>
  <c r="C42" i="23"/>
  <c r="AF37" i="23"/>
  <c r="AD37" i="23"/>
  <c r="U37" i="23"/>
  <c r="T36" i="23"/>
  <c r="T35" i="23"/>
  <c r="U34" i="23"/>
  <c r="AF25" i="23"/>
  <c r="T25" i="23"/>
  <c r="C25" i="23"/>
  <c r="AE7" i="23"/>
  <c r="AC7" i="23"/>
  <c r="AC4" i="23"/>
  <c r="R4" i="23"/>
  <c r="C44" i="23" l="1"/>
  <c r="A6" i="23"/>
  <c r="O37" i="23"/>
  <c r="M37" i="23"/>
  <c r="D37" i="23"/>
  <c r="C39" i="23"/>
  <c r="C38" i="23"/>
  <c r="C36" i="23"/>
  <c r="C35" i="23"/>
  <c r="D34" i="23"/>
  <c r="O25" i="23"/>
  <c r="C21" i="23"/>
  <c r="H19" i="23"/>
  <c r="H17" i="23"/>
  <c r="N7" i="23"/>
  <c r="L7" i="23"/>
  <c r="C17" i="23"/>
  <c r="C13" i="23"/>
  <c r="H11" i="23"/>
  <c r="C11" i="23"/>
  <c r="C9" i="23"/>
  <c r="H7" i="23"/>
  <c r="A25" i="27"/>
  <c r="A24" i="27"/>
  <c r="A23" i="27"/>
  <c r="A22" i="27"/>
  <c r="A21" i="27"/>
  <c r="A20" i="27"/>
  <c r="A19" i="27"/>
  <c r="A18" i="27"/>
  <c r="A17" i="27"/>
  <c r="A16" i="27"/>
  <c r="A15" i="27"/>
  <c r="A14" i="27"/>
  <c r="A13" i="27"/>
  <c r="A12" i="27"/>
  <c r="A11" i="27"/>
  <c r="A10" i="27"/>
  <c r="A7" i="27"/>
  <c r="A6" i="27"/>
  <c r="A4" i="27"/>
  <c r="A3" i="27"/>
</calcChain>
</file>

<file path=xl/sharedStrings.xml><?xml version="1.0" encoding="utf-8"?>
<sst xmlns="http://schemas.openxmlformats.org/spreadsheetml/2006/main" count="339" uniqueCount="302">
  <si>
    <t>SOLL (Foto)</t>
  </si>
  <si>
    <t>IST (Foto)</t>
  </si>
  <si>
    <t>Wann wurde die Korrekturmaßnahme (Auftreten) eingeführt?</t>
  </si>
  <si>
    <t>Wann wurde die Korrekturmaßnahme (Nicht entdecken) eingeführt?</t>
  </si>
  <si>
    <t>Ja</t>
  </si>
  <si>
    <t>Beispiele für Sofortmaßnahmen:
Sind die zuständigen Mitarbeiter über die Reklamation informiert worden?
Sind fehlerhafte Bauteile gesperrt worden?
Ist sichergestellt, dass die nächste Auslieferung an W&amp;H geprüft wurde und fehlerfrei ist?
Ist eine Warenausgangskontrolle installiert worden?
Sind Lagerbestände vorhanden und müssen diese überprüft werden?
Sind weitere W&amp;H-Bestellungen vorhanden und müssen diese überprüft werden?
Sind ähnliche Materialnummern/ Bauteile betroffen?
Ist die termingerechte Lieferung an W&amp;H sichergestellt?</t>
  </si>
  <si>
    <t>Lieferant</t>
  </si>
  <si>
    <t>Wann wurde die 
Sofortmaßnahme eingeführt? (Datum)</t>
  </si>
  <si>
    <t>gelieferte Menge</t>
  </si>
  <si>
    <t>Produktionsdatum / Zeitraum</t>
  </si>
  <si>
    <t>Name, Vorname Ansprechpartner</t>
  </si>
  <si>
    <t>Abteilung</t>
  </si>
  <si>
    <t>Telefon</t>
  </si>
  <si>
    <t>E-Mail</t>
  </si>
  <si>
    <t>Datum</t>
  </si>
  <si>
    <t>Firmenname</t>
  </si>
  <si>
    <t>reklamierte Menge</t>
  </si>
  <si>
    <t>Halter</t>
  </si>
  <si>
    <t>Hier Mängelberichtsnummer aus dem W&amp;H Mängelbericht eintragen.</t>
  </si>
  <si>
    <t>Bitte geben Sie einen Nachweis zur Wirksamkeit der eingeführten Korrekturmaßnahme (Auftreten) an. Beispiel: Audit, Prozessbestätigung, Validierung und andere. Der Wirksamkeitsnachweis ist mit dem 
WH-A4 Formular an W&amp;H zu senden.</t>
  </si>
  <si>
    <t>Bitte geben Sie einen Nachweis zur Wirksamkeit der eingeführten Korrekturmaßnahme (Nicht entdecken) an. Beispiel: Audit, Prozessbestätigung, Validierung und andere. Der Wirksamkeitsnachweis ist mit dem WH-A4 Formular an W&amp;H zu senden.</t>
  </si>
  <si>
    <t>Mustermann, Max</t>
  </si>
  <si>
    <t>Qualitätssicherung</t>
  </si>
  <si>
    <t>Der zuständige Mitarbeiter hat die Angabe der Gewindebohung in der technischen Zeichnung übersehen. Ferner wurde der zur Materialnummer 30222222 gehörende Arbeitsplan nicht aufmerksam gelesen.</t>
  </si>
  <si>
    <t xml:space="preserve">Nach der Fertigung der Materialnummern 30222222 und 30222223 werden keine weiteren Kontrollen durch andere Abteilungen oder Mitarbeiter durchgeführt. Lediglich der zuständige Mitarbeiter kontrolliert seine Arbeit selbst. </t>
  </si>
  <si>
    <t>Eine Kopie der Arbeitspläne wird mit dem ausgefüllten Lieferanten WH-A4 Formular an W&amp;H gesendet.</t>
  </si>
  <si>
    <t>Lagerbestand kontrollieren - Lagerbestand der betroffenen Materialnummer wies zwei weitere fehlerhafte Bauteile auf - fehlerhafte Bauteile wurden aus dem Lagerbestand herausgezogen und nachgearbeitet.</t>
  </si>
  <si>
    <t>Zuständigen Mitarbeiter in der Produktion über den Mängelbericht informieren - Mitarbeiter wurden informiert.</t>
  </si>
  <si>
    <t>Die überarbeitete Version des Arbeitsplans wird zusammen mit dem ausgefüllten Lieferanten WH-A4 Formular an W&amp;H gesendet.</t>
  </si>
  <si>
    <t>Die Arbeitsanweisung wurde überarbeitet. Die für den jeweiligen Fertigungsschritt notwendigen Anweisungen werden zukünftig fett markiert. 
Weiterhin wird das Lesen und Verstehen der einzelnen Fertigungsschritte durch den zuständigen Mitarbeiter mittels Unterschrift bestätigt.</t>
  </si>
  <si>
    <t>Materialbezeichnung</t>
  </si>
  <si>
    <t>Lagerbestand kontrollieren - Lagerbestand kontrolliert - 100% gesperrt.</t>
  </si>
  <si>
    <t>Zuständigen Mitarbeiter in der Produktion über die Reklamation informieren - Mitarbeiter wurden informiert.</t>
  </si>
  <si>
    <t>Die Kontrolle der Codierung wurde in die End-of-Line Prüfung aufgenommen.</t>
  </si>
  <si>
    <t>Eine Kopie der Tätgikeiten innerhalb der End-of-Line Pürfung wird mit dem ausgefüllten Lieferanten WH-A4 Formular an W&amp;H gesendet.</t>
  </si>
  <si>
    <t>Gestellplatte</t>
  </si>
  <si>
    <t>Lagerbestand kontrollieren - Lagerbestand der betroffenen Materialnummer kontrolliert - Lagerbestand vorhanden und gesperrt.</t>
  </si>
  <si>
    <t>Zuständige Mitarbeiter in der Produktion über den Mängelbericht unterrichten - Mitarbeiter wurden unterrichtet.</t>
  </si>
  <si>
    <t>Die Arbeitsanweisung und der Schulungsnachweis werden mit dem WH-A4 Formular an W&amp;H gesendet.</t>
  </si>
  <si>
    <t>Für alle lackierten Bauteile wird eine Warenausgangskontrolle eingeführt.</t>
  </si>
  <si>
    <t>Die Prozessbeschreibung der Warenausgangskontrolle wird mit dem WH-A4 Formular an W&amp;H gesendet.</t>
  </si>
  <si>
    <t>Gerätesteuerung BS</t>
  </si>
  <si>
    <t>01.09.2021 - 24.09.2021</t>
  </si>
  <si>
    <t>Nach Inbetriebnahme der Gerätesteuerung BS gibt diese den Fehlercode 04 (falsche Codierung) aus.</t>
  </si>
  <si>
    <t>Codierprogramm für Materialnummer 35035690 geprüft - falsche Einstellungen vorhanden.</t>
  </si>
  <si>
    <t>Es wurde die noch nicht freigegebene Betaversion VII auf die Gerätesteuerung BS, Materialnummer 35035690 geschrieben. Somit wurde die Steuerung mit der falschen Software programmiert. Dies führte zum Fehlercode 04 (falsche Codierung). Es hätte die Verison VI sein müssen.</t>
  </si>
  <si>
    <t>Der Fehler wurde nicht entdeckt, weil die Codierung nicht in der "End of Line" Prüfung kontrolliert wird.</t>
  </si>
  <si>
    <t>Die Betaversionen werden ab sofort mit einem Freigabeschlüssel versehen. Der Freigabeschlüssel muss vom Vorgesetzten bei Benutzung eingegeben werden.</t>
  </si>
  <si>
    <t>Eine Kopie der entsprechenden Arbeitsanweisung wird mit dem ausgefüllten WH-A4 Formular an W&amp;H gesendet.</t>
  </si>
  <si>
    <t>Spiegelbildliches Bauteil (Materialnummer 30204023) kontrollieren - keine fehlerhaften Bauteile entdeckt.</t>
  </si>
  <si>
    <t>Warenausgangskontrolle für die Materialnummern 30204022 und 30204023 einführen - Warenausgangskontrollen für die genannten Materialnummern wurden eingeführt.</t>
  </si>
  <si>
    <t>11.10.2021 - 15.10.2021</t>
  </si>
  <si>
    <t>Für die fehlerhafte Materialnummer 30204022 sowie das spiegelbildliche Bauteil 30204023 werden Kontrollarbeitsschritte in den Arbeitsplänen aufgenommen. Die Kontrolle erfolgt durch die QS.</t>
  </si>
  <si>
    <t>Ähnliche Materialnummern kontrollieren - Materialnummer 34532113 ist ebenfalls betroffen.</t>
  </si>
  <si>
    <t xml:space="preserve">Die Passbohrungen 48H7 und Passfedernuten wurden nicht für das Lackieren abgedeckt, da es keine Vorgabe hierzu gibt. </t>
  </si>
  <si>
    <t>Weil das Bauteil keiner Warenausgangskontrolle unterliegt, wurden die überlackierten Passbohrungen und Passfedernuten nicht entdeckt.</t>
  </si>
  <si>
    <t>Es wird eine Arbeitsanweisung erstellt, nach der alle Passbohrungen und Passfedernuten vor dem Lackieren abgedeckt werden müssen.
Die Mitarbeiter in der Lackiererei werden über die neue Arbeitsanweisung geschult.</t>
  </si>
  <si>
    <t>Die Passbohrungen 48H7 und die Passfedernuten sind mitlackiert worden.</t>
  </si>
  <si>
    <t>Kopfdaten WH-A4 Formular:
Alle weißen Felder müssen vollständig ausgefüllt werden.
Im nebenstehenden linken Feld ist ein Foto von der Ist-Situation (Bauteil mit Problem) einzutragen.
Im nebenstehenden rechten Feld ist ein Foto von der Soll-Situation (Bauteil ohne Problem) einzutragen.
Es reicht aus, wenn nur der vom Problem betroffene Bereich fotografiert wird.</t>
  </si>
  <si>
    <t>Die nachhaltige Problemlösung (Fehlervermeidung) muss im Vordergrund stehen.
Für jede Grundursache (Auftreten) muss mindestens eine Korrekturmaßnahme eingetragen werden.
Eine einfache Mitarbeiterunterweisung wird im Qualitätsmanagement nicht als nachhaltige Korrekturmaßnahme akzeptiert.</t>
  </si>
  <si>
    <t>Die nachhaltige Problemlösung (Fehlervermeidung) muss im Vordergrund stehen.
Für jede Grundursache (Nicht entdecken) muss mindestens eine Korrekturmaßnahme eingetragen werden. 
Eine einfache Mitarbeiterunterweisung wird im Qualitätsmanagement nicht als nachhaltige Korrekturmaßnahme akzeptiert.</t>
  </si>
  <si>
    <t xml:space="preserve">Tragen Sie hier ein, ob Sie die Reklamation anerkennen oder ablehnen. Nutzen Sie dazu das Drop-down-Menü. </t>
  </si>
  <si>
    <t>0049…</t>
  </si>
  <si>
    <t>Mustermann GmbH</t>
  </si>
  <si>
    <t>Max.Mustermann@mustermann.de</t>
  </si>
  <si>
    <t>Bei den gelieferten Seitenplatten wurde ein Gewinde M6 nicht geschnitten. Die Gewinde wurden von uns nachgeschnitten.</t>
  </si>
  <si>
    <t>Sofortmaßnahmen</t>
  </si>
  <si>
    <t>Einführungsdatum</t>
  </si>
  <si>
    <t>Ursachenanalyse</t>
  </si>
  <si>
    <t>Auftreten</t>
  </si>
  <si>
    <t>Nicht-Entdecken</t>
  </si>
  <si>
    <t>Nachhaltige Korrekturmaßnahmen</t>
  </si>
  <si>
    <t>Reklamation anerkannt</t>
  </si>
  <si>
    <t>Mängelbericht Nr.</t>
  </si>
  <si>
    <t>Dropdown:</t>
  </si>
  <si>
    <t>Nr:</t>
  </si>
  <si>
    <t>Deutsch</t>
  </si>
  <si>
    <t>Englisch</t>
  </si>
  <si>
    <t>Tschechisch</t>
  </si>
  <si>
    <t>E-mail</t>
  </si>
  <si>
    <r>
      <rPr>
        <sz val="10"/>
        <rFont val="Arial"/>
        <family val="2"/>
      </rPr>
      <t>Supplier complaint no.</t>
    </r>
  </si>
  <si>
    <r>
      <rPr>
        <sz val="10"/>
        <rFont val="Arial"/>
        <family val="2"/>
      </rPr>
      <t>Company name</t>
    </r>
  </si>
  <si>
    <r>
      <rPr>
        <sz val="10"/>
        <rFont val="Arial"/>
        <family val="2"/>
      </rPr>
      <t>Date</t>
    </r>
  </si>
  <si>
    <r>
      <rPr>
        <sz val="10"/>
        <rFont val="Arial"/>
        <family val="2"/>
      </rPr>
      <t>Material description</t>
    </r>
  </si>
  <si>
    <r>
      <rPr>
        <sz val="10"/>
        <rFont val="Arial"/>
        <family val="2"/>
      </rPr>
      <t>Delivered quantity</t>
    </r>
  </si>
  <si>
    <r>
      <rPr>
        <sz val="10"/>
        <rFont val="Arial"/>
        <family val="2"/>
      </rPr>
      <t>Complaint quantity</t>
    </r>
  </si>
  <si>
    <r>
      <rPr>
        <sz val="10"/>
        <rFont val="Arial"/>
        <family val="2"/>
      </rPr>
      <t>Production date / period</t>
    </r>
  </si>
  <si>
    <r>
      <rPr>
        <sz val="10"/>
        <rFont val="Arial"/>
        <family val="2"/>
      </rPr>
      <t>ERROR (photo)</t>
    </r>
  </si>
  <si>
    <r>
      <rPr>
        <sz val="10"/>
        <rFont val="Arial"/>
        <family val="2"/>
      </rPr>
      <t>CORRECT (photo)</t>
    </r>
  </si>
  <si>
    <r>
      <rPr>
        <sz val="10"/>
        <rFont val="Arial"/>
        <family val="2"/>
      </rPr>
      <t>Name, first name of contact person</t>
    </r>
  </si>
  <si>
    <r>
      <rPr>
        <sz val="10"/>
        <rFont val="Arial"/>
        <family val="2"/>
      </rPr>
      <t>Department</t>
    </r>
  </si>
  <si>
    <r>
      <rPr>
        <sz val="10"/>
        <rFont val="Arial"/>
        <family val="2"/>
      </rPr>
      <t>E-mail</t>
    </r>
  </si>
  <si>
    <r>
      <rPr>
        <sz val="10"/>
        <rFont val="Arial"/>
        <family val="2"/>
      </rPr>
      <t>Phone</t>
    </r>
  </si>
  <si>
    <r>
      <rPr>
        <sz val="10"/>
        <rFont val="Arial"/>
        <family val="2"/>
      </rPr>
      <t>Problem description from the supplier complaint. Where applicable, describe in more detail</t>
    </r>
  </si>
  <si>
    <r>
      <rPr>
        <sz val="10"/>
        <rFont val="Arial"/>
        <family val="2"/>
      </rPr>
      <t>Immediate measures</t>
    </r>
  </si>
  <si>
    <r>
      <rPr>
        <sz val="10"/>
        <rFont val="Arial"/>
        <family val="2"/>
      </rPr>
      <t>Implementation date</t>
    </r>
  </si>
  <si>
    <r>
      <rPr>
        <sz val="10"/>
        <rFont val="Arial"/>
        <family val="2"/>
      </rPr>
      <t>Cause analysis</t>
    </r>
  </si>
  <si>
    <r>
      <rPr>
        <sz val="10"/>
        <rFont val="Arial"/>
        <family val="2"/>
      </rPr>
      <t>Occurrence</t>
    </r>
  </si>
  <si>
    <r>
      <rPr>
        <sz val="10"/>
        <rFont val="Arial"/>
        <family val="2"/>
      </rPr>
      <t>Non-detection</t>
    </r>
  </si>
  <si>
    <r>
      <rPr>
        <sz val="10"/>
        <rFont val="Arial"/>
        <family val="2"/>
      </rPr>
      <t>Supplier</t>
    </r>
  </si>
  <si>
    <r>
      <rPr>
        <sz val="10"/>
        <rFont val="Arial"/>
        <family val="2"/>
      </rPr>
      <t>Sustainable corrective actions</t>
    </r>
  </si>
  <si>
    <r>
      <rPr>
        <sz val="10"/>
        <rFont val="Arial"/>
        <family val="2"/>
      </rPr>
      <t>Complaint acknowledged</t>
    </r>
  </si>
  <si>
    <r>
      <rPr>
        <sz val="10"/>
        <rFont val="Arial"/>
        <family val="2"/>
      </rPr>
      <t>Enter the supplier complaint number from the W&amp;H supplier complaint here.</t>
    </r>
  </si>
  <si>
    <r>
      <rPr>
        <sz val="10"/>
        <rFont val="Arial"/>
        <family val="2"/>
      </rPr>
      <t>Header data WH-A4 form:
All white fields must be completed in full.
A photo of the error state (component with problem) must be entered in the adjacent field on the left.
A photo of the correct state (component without problem) must be entered in the adjacent field on the right.
It is sufficient to photograph only the area affected by the problem.</t>
    </r>
  </si>
  <si>
    <t>Examples of immediate measures:
Have the responsible employees been informed of the complaint?
Have defective components been blocked?
Has it been ensured that the next delivery to W&amp;H has been checked and is free of defects?
Has an outgoing goods check been put in place?
Are there existing warehouse stocks and do these need to be checked?
Are there other W&amp;H orders and do they need to be checked?
Are similar material numbers/ components affected?
Is on-time delivery to W&amp;H ensured?</t>
  </si>
  <si>
    <t>When was the 
immediate measure implemented? (Date)</t>
  </si>
  <si>
    <r>
      <rPr>
        <sz val="10"/>
        <rFont val="Arial"/>
        <family val="2"/>
      </rPr>
      <t>Sustainable problem resolution (error prevention) must be the primary focus.
At least one corrective measure must be entered for each root cause (occurrence).
Simple employee instruction is not accepted as a sustainable corrective action in quality management.</t>
    </r>
  </si>
  <si>
    <r>
      <rPr>
        <sz val="10"/>
        <rFont val="Arial"/>
        <family val="2"/>
      </rPr>
      <t>Please provide evidence of the effectiveness of the corrective measure (occurrence) implemented. Example: audit, process confirmation, validation and others. The evidence of effectiveness must be submitted with the 
WH-A4 form to be sent to W&amp;H.</t>
    </r>
  </si>
  <si>
    <r>
      <rPr>
        <sz val="10"/>
        <rFont val="Arial"/>
        <family val="2"/>
      </rPr>
      <t>When was the corrective measure (occurrence) implemented?</t>
    </r>
  </si>
  <si>
    <r>
      <rPr>
        <sz val="10"/>
        <rFont val="Arial"/>
        <family val="2"/>
      </rPr>
      <t>Sustainable problem solving (error prevention) must be the primary focus.
At least one corrective measure must be entered for each root cause (non-detection).
Simple employee instruction is not accepted as a sustainable corrective action in quality management.</t>
    </r>
  </si>
  <si>
    <r>
      <rPr>
        <sz val="10"/>
        <rFont val="Arial"/>
        <family val="2"/>
      </rPr>
      <t>Please provide evidence of the effectiveness of the corrective measure (non-detection) implemented. Example: audit, process confirmation, validation and others. The evidence of effectiveness must be submitted with the WH-A4 form to be sent to W&amp;H.</t>
    </r>
  </si>
  <si>
    <r>
      <rPr>
        <sz val="10"/>
        <rFont val="Arial"/>
        <family val="2"/>
      </rPr>
      <t>When was the corrective measure (non-detection) implemented?</t>
    </r>
  </si>
  <si>
    <r>
      <rPr>
        <sz val="10"/>
        <rFont val="Arial"/>
        <family val="2"/>
      </rPr>
      <t>Record here whether you accept or reject the complaint. Use the drop-down menu for this.</t>
    </r>
  </si>
  <si>
    <t>11/16/2011</t>
  </si>
  <si>
    <t>Holders</t>
  </si>
  <si>
    <t>10/11/2021 – 10/15/2021</t>
  </si>
  <si>
    <t>Quality assurance</t>
  </si>
  <si>
    <t>On the supplied side plates, no M6 thread had been cut. We have re-cut the thread.</t>
  </si>
  <si>
    <t>Check the warehouse stock – Warehouse stock of the affected material number had two other faulty components – Faulty components were removed from the warehouse stock and reworked.</t>
  </si>
  <si>
    <t>Inform the responsible employees in Production about the supplier complaint – Employees have been informed.</t>
  </si>
  <si>
    <t>Check mirror-inverted component (material number 30204023) – No faulty components discovered.</t>
  </si>
  <si>
    <t>Implement outgoing goods check for material numbers 30204022 and 30204023 – Outgoing goods checks for the specified material numbers have been implemented.</t>
  </si>
  <si>
    <t>11/18/2021</t>
  </si>
  <si>
    <t>The responsible employee overlooked the specification of the threaded hole in the technical drawing. Moreover, the work plan belonging to material number 30222222 was not read carefully.</t>
  </si>
  <si>
    <t xml:space="preserve">After production of material numbers 30222222 and 30222223, no further checks are carried out by other departments or employees. Only the responsible employee checked his own work himself. </t>
  </si>
  <si>
    <t>The work instruction has been revised. In the future, the instructions necessary for the respective production step will be marked in bold. 
Moreover, reading and understanding the individual production steps will be confirmed by the responsible employee by means of a signature.</t>
  </si>
  <si>
    <t>For the faulty material number 30204022, as well as the mirror-inverted 30204023, the check work steps will be included in the work plans. The check will be carried out by QA.</t>
  </si>
  <si>
    <t>The revised version of the work plan will be sent to W&amp;H together with the filled in supplier form WH-A4.</t>
  </si>
  <si>
    <t>A copy of the work plan will be sent to W&amp;H with the filled in supplier form WH-A4.</t>
  </si>
  <si>
    <t>11/23/2021</t>
  </si>
  <si>
    <t>Yes</t>
  </si>
  <si>
    <t>11/2/2021</t>
  </si>
  <si>
    <t>Device control OS</t>
  </si>
  <si>
    <t>9/1/2021 – 9/24/2021</t>
  </si>
  <si>
    <t>After commissioning the device control OS, this outputs the error code 04 (incorrect coding).</t>
  </si>
  <si>
    <t>Check the warehouse stock – Warehouse stock checked – Blocked 100%.</t>
  </si>
  <si>
    <t>Inform the responsible employees in Production about the complaint – Employees have been informed.</t>
  </si>
  <si>
    <t>Coding program for material number 35035690 checked – Incorrect setting present.</t>
  </si>
  <si>
    <t>11/3/2021</t>
  </si>
  <si>
    <t>11/4/2021</t>
  </si>
  <si>
    <t>The not yet released beta version VII was written on the device control OS, material number 35035690. The control was therefore programmed with the wrong software. This resulted in error code 04 (incorrect coding). It should have been version VI.</t>
  </si>
  <si>
    <t>The error was not discovered as the coding was not checked in the End-of-Line inspection.</t>
  </si>
  <si>
    <t>With immediate effect, the beta versions will be provided with a release key. When used, the release key must be entered by the supervisor.</t>
  </si>
  <si>
    <t>The coding check has been included in the End-of-Line inspection.</t>
  </si>
  <si>
    <t>A copy of the respective work instruction will be sent to W&amp;H with the filled in form WH-A4.</t>
  </si>
  <si>
    <t>A copy of the activities within the End-of-Line inspection will be sent to W&amp;H with the filled in supplier form WH-A4.</t>
  </si>
  <si>
    <t>11/12/2021</t>
  </si>
  <si>
    <t>11/30/2021</t>
  </si>
  <si>
    <t>Plate</t>
  </si>
  <si>
    <t>9/23/2021</t>
  </si>
  <si>
    <t>The dowel holes 48H7 and feather key grooves were painted.</t>
  </si>
  <si>
    <t>Check the warehouse stock – Warehouse stock of the affected material number checked – Warehouse stock present and blocked.</t>
  </si>
  <si>
    <t>Check similar material numbers – Material number 34532113 is also affected.</t>
  </si>
  <si>
    <t>Inform the responsible employees in Production about the supplier complaint – Employees have been notified.</t>
  </si>
  <si>
    <t>12/2/2021</t>
  </si>
  <si>
    <t xml:space="preserve">The dowel holes 48H7 and feather key grooves were not covered for painting as there is no specification for this purpose. </t>
  </si>
  <si>
    <t>As the component is not subject to an outgoing goods check, the painted dowel holes and feather key grooves were not discovered.</t>
  </si>
  <si>
    <t>A work instruction will be prepared which specifies that all dowel holes and feather key grooves are to be covered before painting.
The employees in the paint shop will be trained on the new work instruction.</t>
  </si>
  <si>
    <t>A new outgoing goods check will be introduced for all painted components.</t>
  </si>
  <si>
    <t>The work instruction and training verification will be sent to W&amp;H with the form WH-A4.</t>
  </si>
  <si>
    <t>The process description for the outgoing goods check will be sent to W&amp;H with the form WH-A4.</t>
  </si>
  <si>
    <t>12/10/2021</t>
  </si>
  <si>
    <t>Čís. hlášení o závadě</t>
  </si>
  <si>
    <t>Název firmy</t>
  </si>
  <si>
    <t>Označení materiálu</t>
  </si>
  <si>
    <t>Dodané množství</t>
  </si>
  <si>
    <t>Reklamované množství</t>
  </si>
  <si>
    <t>Datum výroby / časové období</t>
  </si>
  <si>
    <t>SKUTEČNÝ STAV (foto)</t>
  </si>
  <si>
    <t>POŽADOVANÝ STAV (foto)</t>
  </si>
  <si>
    <t>Jméno, příjmení kontaktní osoby</t>
  </si>
  <si>
    <t>Oddělení</t>
  </si>
  <si>
    <t>Popis problému z hlášení o závadě. Případně popište podrobněji</t>
  </si>
  <si>
    <t>Okamžitá opatření</t>
  </si>
  <si>
    <t>Datum zavedení</t>
  </si>
  <si>
    <t>Analýza příčiny</t>
  </si>
  <si>
    <t>Zjištěná</t>
  </si>
  <si>
    <t>Nezjištěná</t>
  </si>
  <si>
    <t>Dodavatel</t>
  </si>
  <si>
    <t>Trvalá opravná opatření</t>
  </si>
  <si>
    <t>Prokázání účinnosti</t>
  </si>
  <si>
    <t>Reklamace uznána</t>
  </si>
  <si>
    <t>Další informace</t>
  </si>
  <si>
    <t>Zde uveďte číslo hlášení o závadě z hlášení o závadě W&amp;H.</t>
  </si>
  <si>
    <t>Údaje ze záhlaví formuláře pro dodavatele WH-A4:
Všechna bílá pole musí být kompletně vyplněna.
Do vedlejšího levého pole vložte foto skutečného stavu (vadná komponenta).
Do vedlejšího pravého pole vložte foto požadovaného stavu (bezvadná komponenta).
Stačí, když vyfotíte pouze příslušnou část se závadou.</t>
  </si>
  <si>
    <t>Příklady okamžitých opatření:
Informovali jste příslušné pracovníky o reklamaci?
Uzamkli jste příslušné komponenty?
Zajistili jste kontrolu a bezvadnost příští dodávky společnosti W&amp;H?
Instalovali jste výstupní kontrolu zboží?
Máte naskladněné nějaké zásoby a je třeba je zkontrolovat?
Existují nějaké další objednávky W&amp;H a je třeba je zkontrolovat?
Mohou být vadná podobná čísla materiálu / komponenty?
Zajistili jste včasnou dodávku společnosti W&amp;H?</t>
  </si>
  <si>
    <t>Kdy bylo zavedeno 
okamžité opatření? (Datum)</t>
  </si>
  <si>
    <t>Proč nastal problém? Co je hlavní příčinou výskytu problému? 
V případě komplexních problémů můžete uvést více příčin.</t>
  </si>
  <si>
    <t>Proč nebyl problém zjištěn? Co je hlavní příčinou pro nezjištění problému? 
Lze uvést více odpovědí.</t>
  </si>
  <si>
    <t>Trvalé řešení problému (zabránění závadě) musí být prioritou.
Pro každou hlavní příčinu (výskyt) uveďte minimálně jedno opravné opatření.
Jednoduché poučení zaměstnanců nebude v řízení kvality považováno za trvalé opravné opatření.</t>
  </si>
  <si>
    <t>Prosím uveďte prokázání o účinnosti zavedeného opravného opatření (výskyt). Příklad: audit, potvrzení procesu, validace a další. Prokázání účinnosti spolu s formulářem 
WH-A4 pošlete společnosti W&amp;H.</t>
  </si>
  <si>
    <t>Kdy bylo zavedeno opravné opatření (výskyt)?</t>
  </si>
  <si>
    <t>Trvalé řešení problému (zabránění závadě) musí být prioritou.
Pro každou hlavní příčinu (nezjištěno) uveďte minimálně jedno opravné opatření. 
Jednoduché poučení zaměstnanců nebude v řízení kvality považováno za trvalé opravné opatření.</t>
  </si>
  <si>
    <t>Prosím uveďte prokázání o účinnosti zavedeného opravného opatření (nezjištěno). Příklad: audit, potvrzení procesu, validace a další. Prokázání účinnosti spolu s formulářem WH-A4 pošlete společnosti W&amp;H.</t>
  </si>
  <si>
    <t>Kdy bylo zavedeno opravné opatření (nezjištěno)?</t>
  </si>
  <si>
    <t xml:space="preserve">Zde uveďte, zda uznáváte či zamítáte reklamaci. Použijte k tomu rozbalovací nabídku. </t>
  </si>
  <si>
    <t>V případě potřeby zde lze uvést další informace.</t>
  </si>
  <si>
    <t>Držák</t>
  </si>
  <si>
    <t>Zajištění kvality</t>
  </si>
  <si>
    <t>U dodaných bočních desek nebyl vyříznut závit M6. Závit jsme dodělali.</t>
  </si>
  <si>
    <t>Kontrola stavu zásob - v zásobách skladu příslušného čísla materiálu byly ještě dvě další vadné komponenty - vadné komponenty byly ze zásob vyjmuty a předělány.</t>
  </si>
  <si>
    <t>Informování příslušných zaměstnanců ve výrobě o hlášení o závadě - zaměstnanci byli informováni.</t>
  </si>
  <si>
    <t>Kontrola zrcadlově obrácené komponenty (číslo materiálu 30204023) - nebyly zjištěny žádné vadné komponenty.</t>
  </si>
  <si>
    <t>Zavedení výstupní kontroly zboží s číslem materiálu 30204022 a 30204023 - výstupní kontroly zboží s uvedenými čísly materiálu byly zavedeny.</t>
  </si>
  <si>
    <t>Odpovědný pracovník přehlédl specifikaci závitového otvoru v technickém výkresu. Dále nebyl pozorně přečten pracovní plán náležící k číslu materiálu 30222222.</t>
  </si>
  <si>
    <t xml:space="preserve">Po zhotovení čísel materiálu 30222222 a 30222223 nebyly provedeny žádné další kontroly jinými odděleními nebo zaměstnanci. Svou práci kontroluje pouze odpovědný pracovník sám. </t>
  </si>
  <si>
    <t>Pracovní pokyn byl přepracován. Pokyny potřebné pro příslušný výrobní krok budou v budoucnu vyznačeny tučně. 
Dále bude odpovědný pracovník stvrzovat přečtení a pochopení jednotlivých pracovních kroků svým podpisem.</t>
  </si>
  <si>
    <t>K vadnému číslu materiálu 30204022 a také zrcadlově obrácené komponentě 30204023 budou v pracovních plánech zahrnuty kontrolní pracovní kroky. Kontrola se provádí prostřednictvím kontroly kvality.</t>
  </si>
  <si>
    <t>Přepracovaná verze pracovního plánu spolu s vyplněným formulářem pro dodavatele WH-A4 poslána společnosti W&amp;H.</t>
  </si>
  <si>
    <t>Kopie pracovního plánu spolu s vyplněným formulářem pro dodavatele WH-A4 poslána společnosti W&amp;H.</t>
  </si>
  <si>
    <t>Ano</t>
  </si>
  <si>
    <t>Ovládání zařízení strana obsluhy</t>
  </si>
  <si>
    <t>1.9.2021 - 24.9.2021</t>
  </si>
  <si>
    <t>Po uvedení do provozu ovládání zařízení strany obsluhy hlásí zařízení chybový kód 04 (chybné kódování).</t>
  </si>
  <si>
    <t>Kontrola stavu zásob - stav zásob zkontrolován - 100 % uzamčeno.</t>
  </si>
  <si>
    <t>Informování odpovědných zaměstnanců ve výrobě o reklamaci - zaměstnanci byli informováni.</t>
  </si>
  <si>
    <t>Kódovací program pro číslo materiálu 35035690 byl zkontrolován - jedná se o chybné nastavení.</t>
  </si>
  <si>
    <t>Do ovládání zařízení strany obsluhy byla zapsána zatím neschválená beta verze VII, číslo materiálu 35035690. Tím došlo k naprogramování ovládání nesprávným softwarem. To způsobilo chybový kód 04 (chybné kódování). Měla to být verze VI.</t>
  </si>
  <si>
    <t>Závada nebyla zjištěna, protože se kódování nekontroluje ve zkoušce „End-of-Line“.</t>
  </si>
  <si>
    <t>Beta verze budou okamžitě opatřeny schvalovacím klíčem. Schvalovací klíč musí při použití zadat správce.</t>
  </si>
  <si>
    <t>Kontrola kódování byla zahrnuta do zkoušky „End-of-Line“.</t>
  </si>
  <si>
    <t>Kopie příslušného pracovního pokynu spolu s vyplněným formulářem pro dodavatele WH-A4 poslána společnosti W&amp;H.</t>
  </si>
  <si>
    <t>Kopie činností probíhajících během zkoušky „End-of-Line“ spolu s vyplněným formulářem pro dodavatele WH-A4 poslána společnosti W&amp;H.</t>
  </si>
  <si>
    <t>Základová deska</t>
  </si>
  <si>
    <t>Lícované otvory 48H7 a drážky pro pero byly rovněž nalakovány.</t>
  </si>
  <si>
    <t>Kontrola stavu zásob - stav zásob příslušného čísla materiálu zkontrolován - zásoby k dispozici a uzamčeny.</t>
  </si>
  <si>
    <t>Kontrola podobných čísel materiálu - číslo materiálu 34532113 je také dotčeno.</t>
  </si>
  <si>
    <t>Informování odpovědných zaměstnanců ve výrobě o hlášení o závadě - zaměstnanci byli informováni.</t>
  </si>
  <si>
    <t xml:space="preserve">Lícované otvory 48H7 a drážky pro pero nebyly během lakování zakryty, jelikož k tomu nebyly žádné specifikace. </t>
  </si>
  <si>
    <t>Protože komponenta nepodléhá žádné výstupní kontrole zboží, nebyly zjištěny přelakované lícované otvory a drážky pro pero.</t>
  </si>
  <si>
    <t>Byl vytvořen pracovní pokyn, podle kterého je nutno před lakováním zakrýt všechny lícované otvory a drážky pro pero.
Pracovníci lakovny jsou proškoleni o novém pracovním pokynu.</t>
  </si>
  <si>
    <t>Pro všechny lakované komponenty je zavedena výstupní kontrola zboží.</t>
  </si>
  <si>
    <t>Pracovní pokyn a doložení provedeného školení posláno spolu s formulářem WH-A4 společnosti W&amp;H.</t>
  </si>
  <si>
    <t>Popis procesu výstupní kontroly zboží poslán spolu s vyplněným formulářem WH-A4 společnosti W&amp;H.</t>
  </si>
  <si>
    <t xml:space="preserve"> Lieferanten WH-A4 Problemlösungsformular</t>
  </si>
  <si>
    <t xml:space="preserve"> Suppliers WH-A4 Problem Solving Form</t>
  </si>
  <si>
    <t xml:space="preserve"> Formulář pro dodavatele WH-A4 </t>
  </si>
  <si>
    <t>Sprache/ Language/ Jazyk:</t>
  </si>
  <si>
    <t>Problembeschreibung aus dem Mängelbericht. Gegebenenfalls genauer beschreiben</t>
  </si>
  <si>
    <r>
      <t xml:space="preserve">Note: The completed supplier WH-A4 form must be uploaded as an Excel file in the </t>
    </r>
    <r>
      <rPr>
        <b/>
        <sz val="10"/>
        <rFont val="Arial"/>
        <family val="2"/>
      </rPr>
      <t>W&amp;H supplier portal (Pool4Tool / Jaggear)</t>
    </r>
    <r>
      <rPr>
        <sz val="10"/>
        <rFont val="Arial"/>
        <family val="2"/>
      </rPr>
      <t xml:space="preserve">. Suppliers without access to the W&amp;H supplier portal should send the Excel file by e-mail to </t>
    </r>
    <r>
      <rPr>
        <b/>
        <sz val="10"/>
        <rFont val="Arial"/>
        <family val="2"/>
      </rPr>
      <t>sqa-whl@wuh-group.com</t>
    </r>
    <r>
      <rPr>
        <sz val="10"/>
        <rFont val="Arial"/>
        <family val="2"/>
      </rPr>
      <t xml:space="preserve">.
If a timely response is not possible due to a missing return, please obtain an extension of time via </t>
    </r>
    <r>
      <rPr>
        <b/>
        <sz val="10"/>
        <rFont val="Arial"/>
        <family val="2"/>
      </rPr>
      <t>SQA-whl@wuh-group.com</t>
    </r>
    <r>
      <rPr>
        <sz val="10"/>
        <rFont val="Arial"/>
        <family val="2"/>
      </rPr>
      <t>.</t>
    </r>
  </si>
  <si>
    <r>
      <rPr>
        <sz val="10"/>
        <color theme="1"/>
        <rFont val="Arial"/>
        <family val="2"/>
      </rPr>
      <t xml:space="preserve">Upozornění: Kompletně vyplněný formulář pro dodavatele WH-A4 je nutno nahrát jako soubor ve formátu Excel na </t>
    </r>
    <r>
      <rPr>
        <b/>
        <sz val="10"/>
        <color rgb="FF000000"/>
        <rFont val="Arial"/>
        <family val="2"/>
      </rPr>
      <t>dodavatelský portál W&amp;H (Pool4Tool / Jaggear)</t>
    </r>
    <r>
      <rPr>
        <sz val="10"/>
        <color rgb="FF000000"/>
        <rFont val="Arial"/>
        <family val="2"/>
      </rPr>
      <t xml:space="preserve">. Dodavatelé bez přístupu k dodavatelskému portálu W&amp;H pošlou excelovský soubor e-mailem na </t>
    </r>
    <r>
      <rPr>
        <b/>
        <sz val="10"/>
        <color rgb="FF000000"/>
        <rFont val="Arial"/>
        <family val="2"/>
      </rPr>
      <t>sqa-whl@wuh-group.com</t>
    </r>
    <r>
      <rPr>
        <sz val="10"/>
        <color rgb="FF000000"/>
        <rFont val="Arial"/>
        <family val="2"/>
      </rPr>
      <t>.</t>
    </r>
    <r>
      <rPr>
        <sz val="10"/>
        <rFont val="Arial"/>
        <family val="2"/>
      </rPr>
      <t xml:space="preserve">
Pokud není možné včasné prohlášení kvůli chybějícímu vrácení, požádejte o prodloužení termínu prostřednictvím </t>
    </r>
    <r>
      <rPr>
        <b/>
        <sz val="10"/>
        <rFont val="Arial"/>
        <family val="2"/>
      </rPr>
      <t>SQA-whl@wuh-group.com</t>
    </r>
    <r>
      <rPr>
        <sz val="10"/>
        <rFont val="Arial"/>
        <family val="2"/>
      </rPr>
      <t>.</t>
    </r>
  </si>
  <si>
    <t>W&amp;H Material number</t>
  </si>
  <si>
    <t>W&amp;H Materialnummer</t>
  </si>
  <si>
    <t>W&amp;H Číslo materiálu</t>
  </si>
  <si>
    <t>/</t>
  </si>
  <si>
    <t>Unterschrift:</t>
  </si>
  <si>
    <t>Bewertet durch:</t>
  </si>
  <si>
    <t>Datum:</t>
  </si>
  <si>
    <t>A4 wurde fristgerecht (nach WH-QD20) nach 10 Tagen bei W&amp;H eingereicht.
[+1 P]</t>
  </si>
  <si>
    <t>A4 wurde an W&amp;H zurückgeschickt.
[1 P]</t>
  </si>
  <si>
    <t>Keine Angabe
[0 P]</t>
  </si>
  <si>
    <t xml:space="preserve">Termin </t>
  </si>
  <si>
    <t>Auswahl wurde begründet.
[+1 P]</t>
  </si>
  <si>
    <t>Feld "Reklamation anerkannt" wurde ausgefüllt.
[1 P]</t>
  </si>
  <si>
    <t>Keine oder unklare Angabe.
[0 P]</t>
  </si>
  <si>
    <t>Wirksamkeit ist nachgewiesen.
[+2]</t>
  </si>
  <si>
    <t>Abstellmaßanhmen decken alle Grundursachen aus "Nicht- Entdecken" vollständig ab.
[2 P]</t>
  </si>
  <si>
    <t>Beliebige Abstellmaßnahmen (unkonkret, Bezug zur Ursache nicht ersichtlich, kein), Wirksamkeit ist nicht nachgewiesen.
[0 P]</t>
  </si>
  <si>
    <t>Nachhaltige Korrekturmaß- nahmen (Entdeckung)</t>
  </si>
  <si>
    <t>Abstellmaßanhmen decken alle Grundursachen aus "Auftreten" vollständig ab.
[2 P]</t>
  </si>
  <si>
    <t>Beliebige Abstellmaßnahmen (unkonkret, Bezug zur Grundursache nicht ersichtlich), Wirksamkeit ist nicht nachgewiesen.
[0 P]</t>
  </si>
  <si>
    <t>Nachhaltige Korrekturmaß- nahmen (Auftreten)</t>
  </si>
  <si>
    <t>Nachweise, die die Grundursache für 
"Nicht- Entdecken" belegen. 
[+2 P]</t>
  </si>
  <si>
    <t>Technische Grundursache für "Nicht-Entdecken" ist logisch, nachvollziehbar ermittelt.
[4 P]</t>
  </si>
  <si>
    <t>Nur direkte Ursache bekannt (oberflächlich / hypothetisch).
[0 P]</t>
  </si>
  <si>
    <t>Ursachen- Analyse (Entdeckung)</t>
  </si>
  <si>
    <t>Nachweise, die die Grundursache für 
"Auftreten" belegen. 
[+2 P]</t>
  </si>
  <si>
    <t>Technische Grundursache für "Auftreten" ist logisch, nachvollziehbar ermittelt.
[4 P]</t>
  </si>
  <si>
    <t>Ursachen- Analyse (Auftreten)</t>
  </si>
  <si>
    <t xml:space="preserve"> Lager/Umlauf/Transit geprüft.
[+ 1 P]</t>
  </si>
  <si>
    <t>Sofortmaßnahmen sind beschrieben und eingeführt (Einführungsdaten sind dokumentiert). Ersatzlieferung/ Reparatur ist berücksichtigt.
[2 P]</t>
  </si>
  <si>
    <t>Beliebige / unvollständige Sofortmaßnahme (unkonkret, kein Termin).
[0 P]</t>
  </si>
  <si>
    <t>Sofortmaß- nahmen</t>
  </si>
  <si>
    <t>Zwei Bilder vorhanden in den roten/grünen Feldern; rot: falsch; grün: richtig
[+1 P]</t>
  </si>
  <si>
    <t>Kopfdaten alle ausgefüllt; Grundproblem, Auftreten und Auswirkungen sind eindeutig und nachvollziehbar beschrieben (kurz, knapp, präzise).
[2 P]</t>
  </si>
  <si>
    <t>Leer oder unvollständig.
[0 P]</t>
  </si>
  <si>
    <t>Problem- beschreibung</t>
  </si>
  <si>
    <t>Bemerkungen</t>
  </si>
  <si>
    <t>Summe</t>
  </si>
  <si>
    <t>Ausgezeichnet</t>
  </si>
  <si>
    <t>Basis Niveau</t>
  </si>
  <si>
    <t>Kaum vorhanden</t>
  </si>
  <si>
    <t>A4-Schritt</t>
  </si>
  <si>
    <t>MB-Nummer:</t>
  </si>
  <si>
    <t>A4 Bewertungsblatt</t>
  </si>
  <si>
    <r>
      <t xml:space="preserve">Hinweis: Das vollständig ausgefüllte Lieferanten WH-A4 Formular muss als Excel-Datei im </t>
    </r>
    <r>
      <rPr>
        <b/>
        <sz val="10"/>
        <rFont val="Arial"/>
        <family val="2"/>
      </rPr>
      <t>W&amp;H Lieferantenportal (Pool4Tool / Jaggear)</t>
    </r>
    <r>
      <rPr>
        <sz val="10"/>
        <rFont val="Arial"/>
        <family val="2"/>
      </rPr>
      <t xml:space="preserve"> hochgeladen werden. Lieferanten ohne Zugang zum W&amp;H Lieferantenportal senden die Excel-Datei per E-Mail an </t>
    </r>
    <r>
      <rPr>
        <b/>
        <sz val="10"/>
        <rFont val="Arial"/>
        <family val="2"/>
      </rPr>
      <t>sqa-whl@wuh-group.com</t>
    </r>
    <r>
      <rPr>
        <sz val="10"/>
        <rFont val="Arial"/>
        <family val="2"/>
      </rPr>
      <t xml:space="preserve">. 
Falls eine fristgerechte Stellungnahme aufgrund einer fehlender Retoure nicht möglich ist, erwirken Sie bitte über </t>
    </r>
    <r>
      <rPr>
        <b/>
        <sz val="10"/>
        <rFont val="Arial"/>
        <family val="2"/>
      </rPr>
      <t>SQA-whl@wuh-group.com</t>
    </r>
    <r>
      <rPr>
        <sz val="10"/>
        <rFont val="Arial"/>
        <family val="2"/>
      </rPr>
      <t xml:space="preserve"> eine Fristverlängerung.</t>
    </r>
  </si>
  <si>
    <t>Wirksamkeitsnachweis (nach Möglichkeit mitsenden)</t>
  </si>
  <si>
    <t>Proof of effectiveness (send if possible)</t>
  </si>
  <si>
    <t>Foto</t>
  </si>
  <si>
    <t>photo</t>
  </si>
  <si>
    <t>foto</t>
  </si>
  <si>
    <t>Falls nötig können hier weitere Informationen vermerkt und die Auswahl begründet werden.</t>
  </si>
  <si>
    <t>If necessary, additional information can be noted and the selection cam be justified here.</t>
  </si>
  <si>
    <t>Wieso ist das Problem aufgetreten? Was ist die Grundursache für das Auftreten des Problems? 
Bei komplexen Problemen sind auch mehrere Grundursachen möglich.
Möglichst Nachweise für die Grundursache beifügen.</t>
  </si>
  <si>
    <t>Why did the problem occur? What is the root cause for the occurrence of the problem? 
For complex problems, multiple root causes are possible.
If possible, please include any evidence of the root cause.</t>
  </si>
  <si>
    <t>Wieso wurde das Problem nicht entdeckt? Was ist die Grundursache für das Nicht-Entdecken des Problems? 
Mehrfachnennungen sind möglich.
Möglichst Nachweise für die Grundursache beifügen.</t>
  </si>
  <si>
    <t>Why was the problem not detected? What is the root cause for non-detection of the problem? 
Multiple responses are possible.
If possible, please include any evidence of the root cause.</t>
  </si>
  <si>
    <t>Begründung/ weitere Informationen</t>
  </si>
  <si>
    <t>Reason/ further information</t>
  </si>
  <si>
    <t>Nein</t>
  </si>
  <si>
    <t>No</t>
  </si>
  <si>
    <t>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</si>
</sst>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3" x14ac:knownFonts="1">
    <font>
      <sz val="11"/>
      <color theme="1"/>
      <name val="Calibri"/>
      <family val="2"/>
      <scheme val="minor"/>
    </font>
    <font>
      <b/>
      <sz val="11"/>
      <color theme="1"/>
      <name val="Calibri"/>
      <family val="2"/>
      <scheme val="minor"/>
    </font>
    <font>
      <u/>
      <sz val="11"/>
      <color theme="10"/>
      <name val="Calibri"/>
      <family val="2"/>
      <scheme val="minor"/>
    </font>
    <font>
      <sz val="10"/>
      <name val="Arial"/>
      <family val="2"/>
    </font>
    <font>
      <sz val="11"/>
      <color rgb="FF9C5700"/>
      <name val="Calibri"/>
      <family val="2"/>
      <scheme val="minor"/>
    </font>
    <font>
      <sz val="11"/>
      <color theme="1"/>
      <name val="Calibri"/>
      <family val="2"/>
      <scheme val="minor"/>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b/>
      <sz val="10"/>
      <color indexed="63"/>
      <name val="Arial"/>
      <family val="2"/>
    </font>
    <font>
      <sz val="10"/>
      <name val="Univers"/>
      <family val="2"/>
    </font>
    <font>
      <sz val="10"/>
      <color theme="1"/>
      <name val="Arial"/>
      <family val="2"/>
    </font>
    <font>
      <b/>
      <sz val="18"/>
      <color indexed="56"/>
      <name val="Cambria"/>
      <family val="2"/>
    </font>
    <font>
      <b/>
      <sz val="10"/>
      <color indexed="8"/>
      <name val="Arial"/>
      <family val="2"/>
    </font>
    <font>
      <sz val="10"/>
      <color indexed="10"/>
      <name val="Arial"/>
      <family val="2"/>
    </font>
    <font>
      <sz val="11"/>
      <color theme="1"/>
      <name val="Arial"/>
      <family val="2"/>
    </font>
    <font>
      <sz val="10"/>
      <color rgb="FF9C5700"/>
      <name val="Arial"/>
      <family val="2"/>
    </font>
    <font>
      <b/>
      <sz val="20"/>
      <color theme="1"/>
      <name val="Arial"/>
      <family val="2"/>
    </font>
    <font>
      <sz val="8"/>
      <color theme="1"/>
      <name val="Arial"/>
      <family val="2"/>
    </font>
    <font>
      <b/>
      <sz val="8"/>
      <color theme="1"/>
      <name val="Arial"/>
      <family val="2"/>
    </font>
    <font>
      <b/>
      <sz val="14"/>
      <color theme="1"/>
      <name val="Arial"/>
      <family val="2"/>
    </font>
    <font>
      <sz val="20"/>
      <color theme="1"/>
      <name val="Calibri"/>
      <family val="2"/>
      <scheme val="minor"/>
    </font>
    <font>
      <sz val="12"/>
      <color theme="1"/>
      <name val="Calibri"/>
      <family val="2"/>
      <scheme val="minor"/>
    </font>
    <font>
      <sz val="12"/>
      <name val="Arial"/>
      <family val="2"/>
    </font>
    <font>
      <sz val="11"/>
      <name val="Arial"/>
      <family val="2"/>
    </font>
    <font>
      <sz val="9"/>
      <name val="Arial"/>
      <family val="2"/>
    </font>
    <font>
      <sz val="9"/>
      <color theme="1"/>
      <name val="Calibri"/>
      <family val="2"/>
      <scheme val="minor"/>
    </font>
    <font>
      <sz val="9"/>
      <color theme="1"/>
      <name val="Arial"/>
      <family val="2"/>
    </font>
    <font>
      <b/>
      <sz val="9"/>
      <name val="Arial"/>
      <family val="2"/>
    </font>
    <font>
      <b/>
      <sz val="10"/>
      <color theme="0"/>
      <name val="Arial"/>
      <family val="2"/>
    </font>
    <font>
      <b/>
      <sz val="12"/>
      <color theme="1"/>
      <name val="Arial"/>
      <family val="2"/>
    </font>
    <font>
      <b/>
      <sz val="18"/>
      <color theme="1"/>
      <name val="Arial"/>
      <family val="2"/>
    </font>
    <font>
      <sz val="18"/>
      <color theme="1"/>
      <name val="Arial"/>
      <family val="2"/>
    </font>
    <font>
      <b/>
      <sz val="10"/>
      <name val="Arial"/>
      <family val="2"/>
    </font>
    <font>
      <b/>
      <sz val="10"/>
      <color rgb="FF000000"/>
      <name val="Arial"/>
      <family val="2"/>
    </font>
    <font>
      <sz val="10"/>
      <color rgb="FF000000"/>
      <name val="Arial"/>
      <family val="2"/>
    </font>
    <font>
      <sz val="8"/>
      <color indexed="8"/>
      <name val="Arial"/>
      <family val="2"/>
    </font>
    <font>
      <b/>
      <sz val="16"/>
      <color theme="1"/>
      <name val="Arial"/>
      <family val="2"/>
    </font>
    <font>
      <sz val="8"/>
      <name val="Arial"/>
      <family val="2"/>
    </font>
    <font>
      <b/>
      <sz val="9"/>
      <color indexed="8"/>
      <name val="Arial"/>
      <family val="2"/>
    </font>
    <font>
      <sz val="10"/>
      <color theme="0"/>
      <name val="Arial"/>
      <family val="2"/>
    </font>
    <font>
      <b/>
      <sz val="14"/>
      <color indexed="8"/>
      <name val="Arial"/>
      <family val="2"/>
    </font>
    <font>
      <sz val="18"/>
      <name val="Arial"/>
      <family val="2"/>
    </font>
    <font>
      <sz val="18"/>
      <color theme="1"/>
      <name val="Calibri"/>
      <family val="2"/>
      <scheme val="minor"/>
    </font>
  </fonts>
  <fills count="3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EB9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5" tint="0.79998168889431442"/>
        <bgColor indexed="64"/>
      </patternFill>
    </fill>
    <fill>
      <patternFill patternType="solid">
        <fgColor rgb="FF00B050"/>
        <bgColor indexed="64"/>
      </patternFill>
    </fill>
    <fill>
      <patternFill patternType="solid">
        <fgColor rgb="FFFF0000"/>
        <bgColor indexed="64"/>
      </patternFill>
    </fill>
    <fill>
      <patternFill patternType="solid">
        <fgColor theme="1"/>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1" tint="0.49998474074526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style="medium">
        <color indexed="64"/>
      </top>
      <bottom/>
      <diagonal/>
    </border>
    <border>
      <left/>
      <right style="medium">
        <color auto="1"/>
      </right>
      <top/>
      <bottom style="medium">
        <color auto="1"/>
      </bottom>
      <diagonal/>
    </border>
    <border>
      <left style="thin">
        <color indexed="64"/>
      </left>
      <right style="thin">
        <color indexed="64"/>
      </right>
      <top style="thin">
        <color indexed="64"/>
      </top>
      <bottom style="medium">
        <color indexed="64"/>
      </bottom>
      <diagonal/>
    </border>
    <border>
      <left style="medium">
        <color auto="1"/>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52">
    <xf numFmtId="0" fontId="0" fillId="0" borderId="0"/>
    <xf numFmtId="0" fontId="2" fillId="0" borderId="0" applyNumberFormat="0" applyFill="0" applyBorder="0" applyAlignment="0" applyProtection="0"/>
    <xf numFmtId="0" fontId="3" fillId="0" borderId="0"/>
    <xf numFmtId="0" fontId="3" fillId="0" borderId="0"/>
    <xf numFmtId="0" fontId="4"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2" borderId="0" applyNumberFormat="0" applyBorder="0" applyAlignment="0" applyProtection="0"/>
    <xf numFmtId="0" fontId="8" fillId="6" borderId="0" applyNumberFormat="0" applyBorder="0" applyAlignment="0" applyProtection="0"/>
    <xf numFmtId="0" fontId="9" fillId="23" borderId="20" applyNumberFormat="0" applyAlignment="0" applyProtection="0"/>
    <xf numFmtId="0" fontId="10" fillId="24" borderId="21" applyNumberFormat="0" applyAlignment="0" applyProtection="0"/>
    <xf numFmtId="0" fontId="11" fillId="0" borderId="0" applyNumberFormat="0" applyFill="0" applyBorder="0" applyAlignment="0" applyProtection="0"/>
    <xf numFmtId="0" fontId="12" fillId="7" borderId="0" applyNumberFormat="0" applyBorder="0" applyAlignment="0" applyProtection="0"/>
    <xf numFmtId="0" fontId="13" fillId="0" borderId="22" applyNumberFormat="0" applyFill="0" applyAlignment="0" applyProtection="0"/>
    <xf numFmtId="0" fontId="14" fillId="0" borderId="23" applyNumberFormat="0" applyFill="0" applyAlignment="0" applyProtection="0"/>
    <xf numFmtId="0" fontId="15" fillId="0" borderId="24" applyNumberFormat="0" applyFill="0" applyAlignment="0" applyProtection="0"/>
    <xf numFmtId="0" fontId="15" fillId="0" borderId="0" applyNumberFormat="0" applyFill="0" applyBorder="0" applyAlignment="0" applyProtection="0"/>
    <xf numFmtId="0" fontId="16" fillId="10" borderId="20" applyNumberFormat="0" applyAlignment="0" applyProtection="0"/>
    <xf numFmtId="0" fontId="17" fillId="0" borderId="25" applyNumberFormat="0" applyFill="0" applyAlignment="0" applyProtection="0"/>
    <xf numFmtId="0" fontId="3" fillId="0" borderId="0"/>
    <xf numFmtId="0" fontId="6" fillId="25" borderId="26" applyNumberFormat="0" applyFont="0" applyAlignment="0" applyProtection="0"/>
    <xf numFmtId="0" fontId="18" fillId="23" borderId="27" applyNumberFormat="0" applyAlignment="0" applyProtection="0"/>
    <xf numFmtId="0" fontId="19" fillId="0" borderId="0" applyProtection="0"/>
    <xf numFmtId="0" fontId="20" fillId="0" borderId="0"/>
    <xf numFmtId="0" fontId="3" fillId="0" borderId="0"/>
    <xf numFmtId="0" fontId="5" fillId="0" borderId="0"/>
    <xf numFmtId="0" fontId="21" fillId="0" borderId="0" applyNumberFormat="0" applyFill="0" applyBorder="0" applyAlignment="0" applyProtection="0"/>
    <xf numFmtId="0" fontId="22" fillId="0" borderId="28" applyNumberFormat="0" applyFill="0" applyAlignment="0" applyProtection="0"/>
    <xf numFmtId="44" fontId="3" fillId="0" borderId="0" applyFont="0" applyFill="0" applyBorder="0" applyAlignment="0" applyProtection="0"/>
    <xf numFmtId="0" fontId="23" fillId="0" borderId="0" applyNumberFormat="0" applyFill="0" applyBorder="0" applyAlignment="0" applyProtection="0"/>
    <xf numFmtId="0" fontId="6" fillId="0" borderId="0"/>
  </cellStyleXfs>
  <cellXfs count="397">
    <xf numFmtId="0" fontId="0" fillId="0" borderId="0" xfId="0"/>
    <xf numFmtId="0" fontId="0" fillId="0" borderId="0" xfId="0" applyProtection="1">
      <protection locked="0"/>
    </xf>
    <xf numFmtId="0" fontId="0" fillId="2" borderId="0" xfId="0" applyFill="1" applyProtection="1">
      <protection locked="0"/>
    </xf>
    <xf numFmtId="0" fontId="3" fillId="26" borderId="0" xfId="0" applyFont="1" applyFill="1" applyAlignment="1">
      <alignment horizontal="left" vertical="center"/>
    </xf>
    <xf numFmtId="0" fontId="0" fillId="0" borderId="0" xfId="0" applyAlignment="1">
      <alignment vertical="center"/>
    </xf>
    <xf numFmtId="14" fontId="36" fillId="0" borderId="1" xfId="0" applyNumberFormat="1" applyFont="1" applyBorder="1" applyAlignment="1" applyProtection="1">
      <alignment horizontal="center" vertical="center" wrapText="1"/>
      <protection locked="0"/>
    </xf>
    <xf numFmtId="0" fontId="37" fillId="0" borderId="1" xfId="0" applyFont="1" applyBorder="1" applyAlignment="1" applyProtection="1">
      <alignment horizontal="center" vertical="center"/>
      <protection locked="0"/>
    </xf>
    <xf numFmtId="0" fontId="30" fillId="26" borderId="30" xfId="0" applyFont="1" applyFill="1" applyBorder="1" applyAlignment="1">
      <alignment horizontal="center" vertical="center"/>
    </xf>
    <xf numFmtId="0" fontId="0" fillId="26" borderId="14" xfId="0" applyFill="1" applyBorder="1" applyAlignment="1">
      <alignment horizontal="center" vertical="center"/>
    </xf>
    <xf numFmtId="0" fontId="30" fillId="26" borderId="31" xfId="0" applyFont="1" applyFill="1" applyBorder="1" applyAlignment="1">
      <alignment horizontal="center" vertical="center"/>
    </xf>
    <xf numFmtId="0" fontId="30" fillId="26" borderId="29" xfId="0" applyFont="1" applyFill="1" applyBorder="1" applyAlignment="1">
      <alignment horizontal="center" vertical="center"/>
    </xf>
    <xf numFmtId="0" fontId="26" fillId="26" borderId="30" xfId="0" applyFont="1" applyFill="1" applyBorder="1" applyAlignment="1">
      <alignment horizontal="center" vertical="center"/>
    </xf>
    <xf numFmtId="0" fontId="30" fillId="26" borderId="14" xfId="0" applyFont="1" applyFill="1" applyBorder="1" applyAlignment="1">
      <alignment horizontal="center" vertical="center"/>
    </xf>
    <xf numFmtId="0" fontId="1" fillId="26" borderId="0" xfId="0" applyFont="1" applyFill="1" applyAlignment="1">
      <alignment horizontal="center" vertical="center" textRotation="90"/>
    </xf>
    <xf numFmtId="0" fontId="31" fillId="26" borderId="12" xfId="0" applyFont="1" applyFill="1" applyBorder="1" applyAlignment="1">
      <alignment horizontal="center" vertical="center"/>
    </xf>
    <xf numFmtId="0" fontId="0" fillId="26" borderId="0" xfId="0" applyFill="1" applyAlignment="1">
      <alignment horizontal="center" vertical="center" textRotation="90"/>
    </xf>
    <xf numFmtId="0" fontId="0" fillId="26" borderId="12" xfId="0" applyFill="1" applyBorder="1" applyAlignment="1">
      <alignment horizontal="center" vertical="center"/>
    </xf>
    <xf numFmtId="0" fontId="3" fillId="26" borderId="0" xfId="0" applyFont="1" applyFill="1" applyAlignment="1" applyProtection="1">
      <alignment horizontal="left" vertical="center"/>
      <protection locked="0"/>
    </xf>
    <xf numFmtId="0" fontId="3" fillId="26" borderId="0" xfId="1" applyFont="1" applyFill="1" applyBorder="1" applyAlignment="1" applyProtection="1">
      <alignment horizontal="left" vertical="center"/>
      <protection locked="0"/>
    </xf>
    <xf numFmtId="14" fontId="3" fillId="26" borderId="0" xfId="0" applyNumberFormat="1" applyFont="1" applyFill="1" applyAlignment="1" applyProtection="1">
      <alignment horizontal="left" vertical="center"/>
      <protection locked="0"/>
    </xf>
    <xf numFmtId="14" fontId="36" fillId="26" borderId="0" xfId="0" applyNumberFormat="1" applyFont="1" applyFill="1" applyAlignment="1" applyProtection="1">
      <alignment horizontal="left" vertical="center"/>
      <protection locked="0"/>
    </xf>
    <xf numFmtId="0" fontId="36" fillId="26" borderId="0" xfId="0" applyFont="1" applyFill="1" applyAlignment="1" applyProtection="1">
      <alignment horizontal="left" vertical="center"/>
      <protection locked="0"/>
    </xf>
    <xf numFmtId="0" fontId="35" fillId="26" borderId="0" xfId="0" applyFont="1" applyFill="1" applyAlignment="1">
      <alignment horizontal="center" vertical="center"/>
    </xf>
    <xf numFmtId="0" fontId="20" fillId="26" borderId="12" xfId="0" applyFont="1" applyFill="1" applyBorder="1" applyAlignment="1" applyProtection="1">
      <alignment horizontal="left" vertical="center" wrapText="1"/>
      <protection locked="0"/>
    </xf>
    <xf numFmtId="0" fontId="0" fillId="26" borderId="29" xfId="0" applyFill="1" applyBorder="1" applyAlignment="1">
      <alignment horizontal="center" vertical="center" textRotation="90"/>
    </xf>
    <xf numFmtId="0" fontId="34" fillId="26" borderId="29" xfId="0" applyFont="1" applyFill="1" applyBorder="1" applyAlignment="1">
      <alignment horizontal="left" vertical="center" wrapText="1"/>
    </xf>
    <xf numFmtId="0" fontId="35" fillId="26" borderId="29" xfId="0" applyFont="1" applyFill="1" applyBorder="1" applyAlignment="1">
      <alignment horizontal="left" vertical="center" wrapText="1"/>
    </xf>
    <xf numFmtId="0" fontId="20" fillId="26" borderId="31" xfId="0" applyFont="1" applyFill="1" applyBorder="1" applyAlignment="1" applyProtection="1">
      <alignment horizontal="left" vertical="center" wrapText="1"/>
      <protection locked="0"/>
    </xf>
    <xf numFmtId="0" fontId="0" fillId="26" borderId="30" xfId="0" applyFill="1" applyBorder="1" applyAlignment="1">
      <alignment horizontal="center" vertical="center" textRotation="90"/>
    </xf>
    <xf numFmtId="0" fontId="34" fillId="26" borderId="30" xfId="0" applyFont="1" applyFill="1" applyBorder="1" applyAlignment="1">
      <alignment horizontal="left" vertical="center" wrapText="1"/>
    </xf>
    <xf numFmtId="0" fontId="35" fillId="26" borderId="30" xfId="0" applyFont="1" applyFill="1" applyBorder="1" applyAlignment="1">
      <alignment horizontal="left" vertical="center" wrapText="1"/>
    </xf>
    <xf numFmtId="0" fontId="20" fillId="26" borderId="14" xfId="0" applyFont="1" applyFill="1" applyBorder="1" applyAlignment="1" applyProtection="1">
      <alignment horizontal="left" vertical="center" wrapText="1"/>
      <protection locked="0"/>
    </xf>
    <xf numFmtId="0" fontId="3" fillId="26" borderId="12" xfId="0" applyFont="1" applyFill="1" applyBorder="1" applyAlignment="1">
      <alignment vertical="center"/>
    </xf>
    <xf numFmtId="14" fontId="20" fillId="26" borderId="12" xfId="0" applyNumberFormat="1" applyFont="1" applyFill="1" applyBorder="1" applyAlignment="1" applyProtection="1">
      <alignment horizontal="center" vertical="center" wrapText="1"/>
      <protection locked="0"/>
    </xf>
    <xf numFmtId="0" fontId="20" fillId="26" borderId="12" xfId="0" applyFont="1" applyFill="1" applyBorder="1" applyAlignment="1" applyProtection="1">
      <alignment horizontal="center" vertical="center" wrapText="1"/>
      <protection locked="0"/>
    </xf>
    <xf numFmtId="0" fontId="36" fillId="26" borderId="29" xfId="0" applyFont="1" applyFill="1" applyBorder="1" applyAlignment="1" applyProtection="1">
      <alignment horizontal="left" vertical="center" wrapText="1"/>
      <protection locked="0"/>
    </xf>
    <xf numFmtId="0" fontId="36" fillId="26" borderId="29" xfId="0" applyFont="1" applyFill="1" applyBorder="1" applyAlignment="1" applyProtection="1">
      <alignment horizontal="center" vertical="center" wrapText="1"/>
      <protection locked="0"/>
    </xf>
    <xf numFmtId="0" fontId="20" fillId="26" borderId="31" xfId="0" applyFont="1" applyFill="1" applyBorder="1" applyAlignment="1" applyProtection="1">
      <alignment horizontal="center" vertical="center" wrapText="1"/>
      <protection locked="0"/>
    </xf>
    <xf numFmtId="0" fontId="36" fillId="26" borderId="30" xfId="0" applyFont="1" applyFill="1" applyBorder="1" applyAlignment="1" applyProtection="1">
      <alignment horizontal="left" vertical="center" wrapText="1"/>
      <protection locked="0"/>
    </xf>
    <xf numFmtId="0" fontId="36" fillId="26" borderId="30" xfId="0" applyFont="1" applyFill="1" applyBorder="1" applyAlignment="1" applyProtection="1">
      <alignment horizontal="center" vertical="center" wrapText="1"/>
      <protection locked="0"/>
    </xf>
    <xf numFmtId="0" fontId="20" fillId="26" borderId="14" xfId="0" applyFont="1" applyFill="1" applyBorder="1" applyAlignment="1" applyProtection="1">
      <alignment horizontal="center" vertical="center" wrapText="1"/>
      <protection locked="0"/>
    </xf>
    <xf numFmtId="0" fontId="36" fillId="26" borderId="0" xfId="0" applyFont="1" applyFill="1"/>
    <xf numFmtId="0" fontId="3" fillId="26" borderId="12" xfId="0" applyFont="1" applyFill="1" applyBorder="1" applyAlignment="1">
      <alignment horizontal="left" vertical="center"/>
    </xf>
    <xf numFmtId="0" fontId="20" fillId="26" borderId="12" xfId="0" applyFont="1" applyFill="1" applyBorder="1" applyAlignment="1" applyProtection="1">
      <alignment horizontal="left" vertical="center" wrapText="1" readingOrder="1"/>
      <protection locked="0"/>
    </xf>
    <xf numFmtId="0" fontId="34" fillId="26" borderId="0" xfId="0" applyFont="1" applyFill="1" applyAlignment="1">
      <alignment horizontal="left" vertical="center" readingOrder="1"/>
    </xf>
    <xf numFmtId="0" fontId="3" fillId="26" borderId="12" xfId="0" applyFont="1" applyFill="1" applyBorder="1" applyAlignment="1">
      <alignment vertical="center" readingOrder="1"/>
    </xf>
    <xf numFmtId="14" fontId="25" fillId="26" borderId="12" xfId="4" applyNumberFormat="1" applyFont="1" applyFill="1" applyBorder="1" applyAlignment="1" applyProtection="1">
      <alignment horizontal="center" vertical="center" wrapText="1" readingOrder="1"/>
      <protection locked="0"/>
    </xf>
    <xf numFmtId="0" fontId="24" fillId="26" borderId="31" xfId="0" applyFont="1" applyFill="1" applyBorder="1" applyAlignment="1">
      <alignment horizontal="center"/>
    </xf>
    <xf numFmtId="0" fontId="24" fillId="26" borderId="12" xfId="0" applyFont="1" applyFill="1" applyBorder="1" applyAlignment="1">
      <alignment horizontal="center"/>
    </xf>
    <xf numFmtId="0" fontId="36" fillId="26" borderId="0" xfId="0" applyFont="1" applyFill="1" applyAlignment="1" applyProtection="1">
      <alignment horizontal="left" vertical="center" wrapText="1"/>
      <protection locked="0"/>
    </xf>
    <xf numFmtId="0" fontId="34" fillId="26" borderId="0" xfId="0" applyFont="1" applyFill="1" applyAlignment="1">
      <alignment horizontal="center" vertical="center"/>
    </xf>
    <xf numFmtId="0" fontId="0" fillId="26" borderId="19" xfId="0" applyFill="1" applyBorder="1" applyProtection="1">
      <protection locked="0"/>
    </xf>
    <xf numFmtId="0" fontId="0" fillId="26" borderId="29" xfId="0" applyFill="1" applyBorder="1" applyProtection="1">
      <protection locked="0"/>
    </xf>
    <xf numFmtId="0" fontId="0" fillId="26" borderId="31" xfId="0" applyFill="1" applyBorder="1" applyProtection="1">
      <protection locked="0"/>
    </xf>
    <xf numFmtId="0" fontId="34" fillId="26" borderId="29" xfId="0" applyFont="1" applyFill="1" applyBorder="1" applyAlignment="1">
      <alignment horizontal="left" vertical="center"/>
    </xf>
    <xf numFmtId="14" fontId="3" fillId="26" borderId="29" xfId="0" applyNumberFormat="1" applyFont="1" applyFill="1" applyBorder="1" applyAlignment="1" applyProtection="1">
      <alignment horizontal="left" vertical="center"/>
      <protection locked="0"/>
    </xf>
    <xf numFmtId="0" fontId="34" fillId="26" borderId="0" xfId="0" applyFont="1" applyFill="1" applyAlignment="1">
      <alignment horizontal="center" vertical="center" textRotation="90"/>
    </xf>
    <xf numFmtId="14" fontId="34" fillId="0" borderId="1" xfId="4" applyNumberFormat="1" applyFont="1" applyFill="1" applyBorder="1" applyAlignment="1" applyProtection="1">
      <alignment horizontal="center" vertical="center" wrapText="1" readingOrder="1"/>
      <protection locked="0"/>
    </xf>
    <xf numFmtId="0" fontId="30" fillId="3" borderId="30" xfId="0" applyFont="1" applyFill="1" applyBorder="1" applyAlignment="1">
      <alignment horizontal="center" vertical="center"/>
    </xf>
    <xf numFmtId="0" fontId="0" fillId="3" borderId="14" xfId="0" applyFill="1" applyBorder="1" applyAlignment="1">
      <alignment horizontal="center" vertical="center"/>
    </xf>
    <xf numFmtId="0" fontId="30" fillId="3" borderId="29" xfId="0" applyFont="1" applyFill="1" applyBorder="1" applyAlignment="1">
      <alignment horizontal="center" vertical="center"/>
    </xf>
    <xf numFmtId="0" fontId="30" fillId="3" borderId="31" xfId="0" applyFont="1" applyFill="1" applyBorder="1" applyAlignment="1">
      <alignment horizontal="center" vertical="center"/>
    </xf>
    <xf numFmtId="0" fontId="26" fillId="3" borderId="30" xfId="0" applyFont="1" applyFill="1" applyBorder="1" applyAlignment="1">
      <alignment horizontal="center" vertical="center"/>
    </xf>
    <xf numFmtId="0" fontId="30" fillId="3" borderId="14" xfId="0" applyFont="1" applyFill="1" applyBorder="1" applyAlignment="1">
      <alignment horizontal="center" vertical="center"/>
    </xf>
    <xf numFmtId="0" fontId="31" fillId="3" borderId="12" xfId="0" applyFont="1" applyFill="1" applyBorder="1" applyAlignment="1">
      <alignment horizontal="center" vertical="center"/>
    </xf>
    <xf numFmtId="0" fontId="0" fillId="3" borderId="0" xfId="0" applyFill="1" applyAlignment="1">
      <alignment horizontal="center" vertical="center" textRotation="90"/>
    </xf>
    <xf numFmtId="0" fontId="0" fillId="3" borderId="12" xfId="0" applyFill="1" applyBorder="1" applyAlignment="1">
      <alignment horizontal="center" vertical="center"/>
    </xf>
    <xf numFmtId="0" fontId="34" fillId="3" borderId="0" xfId="0" applyFont="1" applyFill="1" applyAlignment="1">
      <alignment horizontal="left" vertical="center"/>
    </xf>
    <xf numFmtId="0" fontId="34" fillId="3" borderId="0" xfId="0" applyFont="1" applyFill="1" applyAlignment="1">
      <alignment horizontal="left" vertical="center" wrapText="1"/>
    </xf>
    <xf numFmtId="0" fontId="0" fillId="3" borderId="29" xfId="0" applyFill="1" applyBorder="1" applyAlignment="1">
      <alignment horizontal="center" vertical="center" textRotation="90"/>
    </xf>
    <xf numFmtId="0" fontId="34" fillId="3" borderId="29" xfId="0" applyFont="1" applyFill="1" applyBorder="1" applyAlignment="1">
      <alignment horizontal="left" vertical="center" wrapText="1"/>
    </xf>
    <xf numFmtId="14" fontId="36" fillId="3" borderId="0" xfId="0" applyNumberFormat="1" applyFont="1" applyFill="1" applyAlignment="1" applyProtection="1">
      <alignment horizontal="left" vertical="center"/>
      <protection locked="0"/>
    </xf>
    <xf numFmtId="0" fontId="36" fillId="3" borderId="0" xfId="0" applyFont="1" applyFill="1" applyAlignment="1" applyProtection="1">
      <alignment horizontal="left" vertical="center"/>
      <protection locked="0"/>
    </xf>
    <xf numFmtId="0" fontId="35" fillId="3" borderId="0" xfId="0" applyFont="1" applyFill="1" applyAlignment="1">
      <alignment horizontal="center" vertical="center"/>
    </xf>
    <xf numFmtId="0" fontId="20" fillId="3" borderId="12" xfId="0" applyFont="1" applyFill="1" applyBorder="1" applyAlignment="1" applyProtection="1">
      <alignment horizontal="left" vertical="center" wrapText="1"/>
      <protection locked="0"/>
    </xf>
    <xf numFmtId="0" fontId="35" fillId="3" borderId="29" xfId="0" applyFont="1" applyFill="1" applyBorder="1" applyAlignment="1">
      <alignment horizontal="left" vertical="center" wrapText="1"/>
    </xf>
    <xf numFmtId="0" fontId="20" fillId="3" borderId="31" xfId="0" applyFont="1" applyFill="1" applyBorder="1" applyAlignment="1" applyProtection="1">
      <alignment horizontal="left" vertical="center" wrapText="1"/>
      <protection locked="0"/>
    </xf>
    <xf numFmtId="0" fontId="0" fillId="3" borderId="30" xfId="0" applyFill="1" applyBorder="1" applyAlignment="1">
      <alignment horizontal="center" vertical="center" textRotation="90"/>
    </xf>
    <xf numFmtId="0" fontId="34" fillId="3" borderId="30" xfId="0" applyFont="1" applyFill="1" applyBorder="1" applyAlignment="1">
      <alignment horizontal="left" vertical="center" wrapText="1"/>
    </xf>
    <xf numFmtId="0" fontId="35" fillId="3" borderId="30" xfId="0" applyFont="1" applyFill="1" applyBorder="1" applyAlignment="1">
      <alignment horizontal="left" vertical="center" wrapText="1"/>
    </xf>
    <xf numFmtId="0" fontId="20" fillId="3" borderId="14" xfId="0" applyFont="1" applyFill="1" applyBorder="1" applyAlignment="1" applyProtection="1">
      <alignment horizontal="left" vertical="center" wrapText="1"/>
      <protection locked="0"/>
    </xf>
    <xf numFmtId="0" fontId="3" fillId="3" borderId="12" xfId="0" applyFont="1" applyFill="1" applyBorder="1" applyAlignment="1">
      <alignment vertical="center"/>
    </xf>
    <xf numFmtId="14" fontId="20" fillId="3" borderId="12" xfId="0" applyNumberFormat="1" applyFont="1" applyFill="1" applyBorder="1" applyAlignment="1" applyProtection="1">
      <alignment horizontal="center" vertical="center" wrapText="1"/>
      <protection locked="0"/>
    </xf>
    <xf numFmtId="0" fontId="20" fillId="3" borderId="12" xfId="0" applyFont="1" applyFill="1" applyBorder="1" applyAlignment="1" applyProtection="1">
      <alignment horizontal="center" vertical="center" wrapText="1"/>
      <protection locked="0"/>
    </xf>
    <xf numFmtId="0" fontId="36" fillId="3" borderId="29" xfId="0" applyFont="1" applyFill="1" applyBorder="1" applyAlignment="1" applyProtection="1">
      <alignment horizontal="left" vertical="center" wrapText="1"/>
      <protection locked="0"/>
    </xf>
    <xf numFmtId="0" fontId="36" fillId="3" borderId="29" xfId="0" applyFont="1" applyFill="1" applyBorder="1" applyAlignment="1" applyProtection="1">
      <alignment horizontal="center" vertical="center" wrapText="1"/>
      <protection locked="0"/>
    </xf>
    <xf numFmtId="0" fontId="20" fillId="3" borderId="31" xfId="0" applyFont="1" applyFill="1" applyBorder="1" applyAlignment="1" applyProtection="1">
      <alignment horizontal="center" vertical="center" wrapText="1"/>
      <protection locked="0"/>
    </xf>
    <xf numFmtId="0" fontId="36" fillId="3" borderId="30" xfId="0" applyFont="1" applyFill="1" applyBorder="1" applyAlignment="1" applyProtection="1">
      <alignment horizontal="left" vertical="center" wrapText="1"/>
      <protection locked="0"/>
    </xf>
    <xf numFmtId="0" fontId="36" fillId="3" borderId="30" xfId="0" applyFont="1" applyFill="1" applyBorder="1" applyAlignment="1" applyProtection="1">
      <alignment horizontal="center" vertical="center" wrapText="1"/>
      <protection locked="0"/>
    </xf>
    <xf numFmtId="0" fontId="20" fillId="3" borderId="14" xfId="0" applyFont="1" applyFill="1" applyBorder="1" applyAlignment="1" applyProtection="1">
      <alignment horizontal="center" vertical="center" wrapText="1"/>
      <protection locked="0"/>
    </xf>
    <xf numFmtId="0" fontId="36" fillId="3" borderId="0" xfId="0" applyFont="1" applyFill="1"/>
    <xf numFmtId="0" fontId="3" fillId="3" borderId="12" xfId="0" applyFont="1" applyFill="1" applyBorder="1" applyAlignment="1">
      <alignment horizontal="left" vertical="center"/>
    </xf>
    <xf numFmtId="0" fontId="34" fillId="3" borderId="0" xfId="0" applyFont="1" applyFill="1" applyAlignment="1">
      <alignment horizontal="center" vertical="center" textRotation="90"/>
    </xf>
    <xf numFmtId="0" fontId="20" fillId="3" borderId="12" xfId="0" applyFont="1" applyFill="1" applyBorder="1" applyAlignment="1" applyProtection="1">
      <alignment horizontal="left" vertical="center" wrapText="1" readingOrder="1"/>
      <protection locked="0"/>
    </xf>
    <xf numFmtId="0" fontId="3" fillId="3" borderId="12" xfId="0" applyFont="1" applyFill="1" applyBorder="1" applyAlignment="1">
      <alignment vertical="center" readingOrder="1"/>
    </xf>
    <xf numFmtId="14" fontId="25" fillId="3" borderId="12" xfId="4" applyNumberFormat="1" applyFont="1" applyFill="1" applyBorder="1" applyAlignment="1" applyProtection="1">
      <alignment horizontal="center" vertical="center" wrapText="1" readingOrder="1"/>
      <protection locked="0"/>
    </xf>
    <xf numFmtId="0" fontId="24" fillId="3" borderId="31" xfId="0" applyFont="1" applyFill="1" applyBorder="1" applyAlignment="1">
      <alignment horizontal="center"/>
    </xf>
    <xf numFmtId="0" fontId="36" fillId="3" borderId="0" xfId="0" applyFont="1" applyFill="1" applyAlignment="1">
      <alignment horizontal="center"/>
    </xf>
    <xf numFmtId="0" fontId="24" fillId="3" borderId="12" xfId="0" applyFont="1" applyFill="1" applyBorder="1" applyAlignment="1">
      <alignment horizontal="center"/>
    </xf>
    <xf numFmtId="0" fontId="36" fillId="3" borderId="0" xfId="0" applyFont="1" applyFill="1" applyAlignment="1" applyProtection="1">
      <alignment horizontal="left" vertical="center" wrapText="1"/>
      <protection locked="0"/>
    </xf>
    <xf numFmtId="0" fontId="34" fillId="3" borderId="0" xfId="0" applyFont="1" applyFill="1" applyAlignment="1">
      <alignment horizontal="center" vertical="center"/>
    </xf>
    <xf numFmtId="0" fontId="37" fillId="3" borderId="1" xfId="0" applyFont="1" applyFill="1" applyBorder="1" applyAlignment="1" applyProtection="1">
      <alignment horizontal="center" vertical="center"/>
      <protection locked="0"/>
    </xf>
    <xf numFmtId="0" fontId="0" fillId="3" borderId="19" xfId="0" applyFill="1" applyBorder="1" applyProtection="1">
      <protection locked="0"/>
    </xf>
    <xf numFmtId="0" fontId="0" fillId="3" borderId="29" xfId="0" applyFill="1" applyBorder="1" applyProtection="1">
      <protection locked="0"/>
    </xf>
    <xf numFmtId="0" fontId="0" fillId="3" borderId="31" xfId="0" applyFill="1" applyBorder="1" applyProtection="1">
      <protection locked="0"/>
    </xf>
    <xf numFmtId="0" fontId="0" fillId="3" borderId="33" xfId="0" applyFill="1" applyBorder="1" applyAlignment="1">
      <alignment horizontal="center" vertical="center" textRotation="90"/>
    </xf>
    <xf numFmtId="14" fontId="34" fillId="3" borderId="1" xfId="4" applyNumberFormat="1" applyFont="1" applyFill="1" applyBorder="1" applyAlignment="1" applyProtection="1">
      <alignment horizontal="left" vertical="center" wrapText="1" readingOrder="1"/>
      <protection locked="0"/>
    </xf>
    <xf numFmtId="0" fontId="0" fillId="26" borderId="33" xfId="0" applyFill="1" applyBorder="1" applyAlignment="1">
      <alignment horizontal="center" vertical="center" textRotation="90"/>
    </xf>
    <xf numFmtId="0" fontId="34" fillId="26" borderId="0" xfId="0" applyFont="1" applyFill="1" applyAlignment="1">
      <alignment horizontal="left" vertical="center"/>
    </xf>
    <xf numFmtId="14" fontId="34" fillId="26" borderId="0" xfId="0" applyNumberFormat="1" applyFont="1" applyFill="1" applyAlignment="1" applyProtection="1">
      <alignment horizontal="left" vertical="center"/>
      <protection locked="0"/>
    </xf>
    <xf numFmtId="0" fontId="34" fillId="26" borderId="0" xfId="0" applyFont="1" applyFill="1" applyAlignment="1">
      <alignment horizontal="left" vertical="center" wrapText="1"/>
    </xf>
    <xf numFmtId="0" fontId="36" fillId="26" borderId="0" xfId="0" applyFont="1" applyFill="1" applyAlignment="1">
      <alignment horizontal="center"/>
    </xf>
    <xf numFmtId="0" fontId="34" fillId="26" borderId="0" xfId="0" applyFont="1" applyFill="1" applyAlignment="1" applyProtection="1">
      <alignment horizontal="left" vertical="center"/>
      <protection locked="0"/>
    </xf>
    <xf numFmtId="0" fontId="0" fillId="3" borderId="12" xfId="0" applyFill="1" applyBorder="1" applyAlignment="1">
      <alignment vertical="center"/>
    </xf>
    <xf numFmtId="0" fontId="0" fillId="0" borderId="11" xfId="0" applyBorder="1" applyProtection="1">
      <protection locked="0"/>
    </xf>
    <xf numFmtId="0" fontId="0" fillId="2" borderId="11" xfId="0" applyFill="1" applyBorder="1" applyProtection="1">
      <protection locked="0"/>
    </xf>
    <xf numFmtId="0" fontId="0" fillId="0" borderId="30" xfId="0" applyBorder="1" applyProtection="1">
      <protection locked="0"/>
    </xf>
    <xf numFmtId="0" fontId="0" fillId="0" borderId="29" xfId="0" applyBorder="1" applyProtection="1">
      <protection locked="0"/>
    </xf>
    <xf numFmtId="0" fontId="1" fillId="0" borderId="0" xfId="3" applyFont="1" applyAlignment="1">
      <alignment wrapText="1"/>
    </xf>
    <xf numFmtId="0" fontId="3" fillId="0" borderId="0" xfId="3" applyAlignment="1">
      <alignment horizontal="right" wrapText="1"/>
    </xf>
    <xf numFmtId="0" fontId="38" fillId="29" borderId="17" xfId="3" applyFont="1" applyFill="1" applyBorder="1" applyAlignment="1">
      <alignment horizontal="center" vertical="center" wrapText="1"/>
    </xf>
    <xf numFmtId="0" fontId="3" fillId="30" borderId="0" xfId="3" applyFill="1" applyAlignment="1">
      <alignment wrapText="1"/>
    </xf>
    <xf numFmtId="0" fontId="3" fillId="0" borderId="0" xfId="3" applyAlignment="1">
      <alignment wrapText="1"/>
    </xf>
    <xf numFmtId="0" fontId="3" fillId="0" borderId="34" xfId="3" applyBorder="1" applyAlignment="1">
      <alignment wrapText="1"/>
    </xf>
    <xf numFmtId="0" fontId="3" fillId="0" borderId="34" xfId="3" applyBorder="1" applyAlignment="1">
      <alignment vertical="top" wrapText="1"/>
    </xf>
    <xf numFmtId="0" fontId="0" fillId="2" borderId="0" xfId="0" applyFill="1" applyAlignment="1">
      <alignment vertical="center"/>
    </xf>
    <xf numFmtId="0" fontId="27" fillId="2" borderId="29" xfId="0" applyFont="1" applyFill="1" applyBorder="1" applyAlignment="1" applyProtection="1">
      <alignment vertical="center" wrapText="1"/>
      <protection locked="0"/>
    </xf>
    <xf numFmtId="0" fontId="3" fillId="0" borderId="34" xfId="3" applyBorder="1" applyAlignment="1">
      <alignment horizontal="left" wrapText="1"/>
    </xf>
    <xf numFmtId="14" fontId="3" fillId="0" borderId="34" xfId="3" applyNumberFormat="1" applyBorder="1" applyAlignment="1">
      <alignment horizontal="left" vertical="top" wrapText="1"/>
    </xf>
    <xf numFmtId="0" fontId="3" fillId="0" borderId="34" xfId="3" applyBorder="1" applyAlignment="1">
      <alignment horizontal="left" vertical="top" wrapText="1"/>
    </xf>
    <xf numFmtId="0" fontId="30" fillId="3" borderId="0" xfId="0" applyFont="1" applyFill="1" applyAlignment="1">
      <alignment horizontal="center" vertical="center"/>
    </xf>
    <xf numFmtId="49" fontId="3" fillId="0" borderId="34" xfId="3" applyNumberFormat="1" applyBorder="1" applyAlignment="1">
      <alignment horizontal="left" vertical="top" wrapText="1"/>
    </xf>
    <xf numFmtId="0" fontId="34" fillId="26" borderId="0" xfId="0" applyFont="1" applyFill="1" applyAlignment="1">
      <alignment horizontal="left"/>
    </xf>
    <xf numFmtId="0" fontId="34" fillId="26" borderId="0" xfId="0" applyFont="1" applyFill="1" applyAlignment="1" applyProtection="1">
      <alignment horizontal="left"/>
      <protection locked="0"/>
    </xf>
    <xf numFmtId="0" fontId="34" fillId="26" borderId="0" xfId="0" applyFont="1" applyFill="1"/>
    <xf numFmtId="0" fontId="34" fillId="3" borderId="0" xfId="0" applyFont="1" applyFill="1" applyAlignment="1">
      <alignment horizontal="left"/>
    </xf>
    <xf numFmtId="0" fontId="34" fillId="3" borderId="0" xfId="0" applyFont="1" applyFill="1"/>
    <xf numFmtId="0" fontId="34" fillId="3" borderId="0" xfId="0" applyFont="1" applyFill="1" applyAlignment="1">
      <alignment horizontal="left" readingOrder="1"/>
    </xf>
    <xf numFmtId="0" fontId="28" fillId="0" borderId="0" xfId="0" applyFont="1" applyAlignment="1" applyProtection="1">
      <alignment vertical="center" wrapText="1"/>
      <protection locked="0"/>
    </xf>
    <xf numFmtId="0" fontId="28" fillId="0" borderId="29" xfId="0" applyFont="1" applyBorder="1" applyAlignment="1" applyProtection="1">
      <alignment vertical="center" wrapText="1"/>
      <protection locked="0"/>
    </xf>
    <xf numFmtId="0" fontId="45" fillId="0" borderId="29" xfId="0" applyFont="1" applyBorder="1" applyAlignment="1" applyProtection="1">
      <alignment vertical="center" wrapText="1"/>
      <protection locked="0"/>
    </xf>
    <xf numFmtId="0" fontId="27" fillId="0" borderId="29" xfId="0" applyFont="1" applyBorder="1" applyAlignment="1" applyProtection="1">
      <alignment vertical="center" wrapText="1"/>
      <protection locked="0"/>
    </xf>
    <xf numFmtId="0" fontId="6" fillId="0" borderId="0" xfId="51"/>
    <xf numFmtId="0" fontId="6" fillId="0" borderId="2" xfId="51" applyBorder="1"/>
    <xf numFmtId="0" fontId="6" fillId="0" borderId="0" xfId="51" applyAlignment="1">
      <alignment horizontal="center"/>
    </xf>
    <xf numFmtId="0" fontId="6" fillId="0" borderId="10" xfId="51" applyBorder="1"/>
    <xf numFmtId="0" fontId="6" fillId="0" borderId="36" xfId="51" applyBorder="1"/>
    <xf numFmtId="0" fontId="6" fillId="0" borderId="11" xfId="51" applyBorder="1"/>
    <xf numFmtId="0" fontId="6" fillId="0" borderId="12" xfId="51" applyBorder="1" applyAlignment="1">
      <alignment horizontal="center"/>
    </xf>
    <xf numFmtId="0" fontId="49" fillId="32" borderId="44" xfId="51" applyFont="1" applyFill="1" applyBorder="1"/>
    <xf numFmtId="0" fontId="6" fillId="2" borderId="12" xfId="51" applyFill="1" applyBorder="1"/>
    <xf numFmtId="0" fontId="22" fillId="2" borderId="0" xfId="51" applyFont="1" applyFill="1" applyAlignment="1">
      <alignment horizontal="right" vertical="center"/>
    </xf>
    <xf numFmtId="0" fontId="6" fillId="2" borderId="0" xfId="51" applyFill="1"/>
    <xf numFmtId="0" fontId="6" fillId="2" borderId="11" xfId="51" applyFill="1" applyBorder="1"/>
    <xf numFmtId="0" fontId="22" fillId="2" borderId="0" xfId="51" applyFont="1" applyFill="1" applyAlignment="1">
      <alignment horizontal="right"/>
    </xf>
    <xf numFmtId="0" fontId="6" fillId="2" borderId="14" xfId="51" applyFill="1" applyBorder="1"/>
    <xf numFmtId="0" fontId="6" fillId="2" borderId="30" xfId="51" applyFill="1" applyBorder="1"/>
    <xf numFmtId="0" fontId="6" fillId="0" borderId="14" xfId="51" applyBorder="1"/>
    <xf numFmtId="0" fontId="6" fillId="0" borderId="30" xfId="51" applyBorder="1"/>
    <xf numFmtId="0" fontId="6" fillId="0" borderId="13" xfId="51" applyBorder="1"/>
    <xf numFmtId="14" fontId="3" fillId="0" borderId="8" xfId="3" applyNumberFormat="1" applyBorder="1" applyAlignment="1">
      <alignment horizontal="left" vertical="top" wrapText="1"/>
    </xf>
    <xf numFmtId="0" fontId="34" fillId="26" borderId="10" xfId="0" applyFont="1" applyFill="1" applyBorder="1"/>
    <xf numFmtId="0" fontId="27" fillId="2" borderId="6" xfId="0" applyFont="1" applyFill="1" applyBorder="1" applyAlignment="1" applyProtection="1">
      <alignment horizontal="left" vertical="center" wrapText="1"/>
      <protection locked="0"/>
    </xf>
    <xf numFmtId="0" fontId="27" fillId="2" borderId="18" xfId="0" applyFont="1" applyFill="1" applyBorder="1" applyAlignment="1" applyProtection="1">
      <alignment horizontal="left" vertical="center" wrapText="1"/>
      <protection locked="0"/>
    </xf>
    <xf numFmtId="0" fontId="27" fillId="2" borderId="4" xfId="0" applyFont="1" applyFill="1" applyBorder="1" applyAlignment="1" applyProtection="1">
      <alignment horizontal="left" vertical="center" wrapText="1"/>
      <protection locked="0"/>
    </xf>
    <xf numFmtId="0" fontId="27" fillId="2" borderId="10" xfId="0" applyFont="1" applyFill="1" applyBorder="1" applyAlignment="1" applyProtection="1">
      <alignment horizontal="left" vertical="center" wrapText="1"/>
      <protection locked="0"/>
    </xf>
    <xf numFmtId="0" fontId="40" fillId="0" borderId="13" xfId="0" applyFont="1" applyBorder="1" applyAlignment="1">
      <alignment horizontal="right" vertical="center"/>
    </xf>
    <xf numFmtId="0" fontId="40" fillId="0" borderId="30" xfId="0" applyFont="1" applyBorder="1" applyAlignment="1">
      <alignment horizontal="right" vertical="center"/>
    </xf>
    <xf numFmtId="0" fontId="41" fillId="0" borderId="30" xfId="0" applyFont="1" applyBorder="1" applyAlignment="1">
      <alignment horizontal="right" vertical="center"/>
    </xf>
    <xf numFmtId="0" fontId="41" fillId="0" borderId="14" xfId="0" applyFont="1" applyBorder="1" applyAlignment="1">
      <alignment horizontal="right" vertical="center"/>
    </xf>
    <xf numFmtId="0" fontId="41" fillId="0" borderId="11" xfId="0" applyFont="1" applyBorder="1" applyAlignment="1">
      <alignment horizontal="right" vertical="center"/>
    </xf>
    <xf numFmtId="0" fontId="41" fillId="0" borderId="29" xfId="0" applyFont="1" applyBorder="1" applyAlignment="1">
      <alignment horizontal="right" vertical="center"/>
    </xf>
    <xf numFmtId="0" fontId="41" fillId="0" borderId="31" xfId="0" applyFont="1" applyBorder="1" applyAlignment="1">
      <alignment horizontal="right" vertical="center"/>
    </xf>
    <xf numFmtId="0" fontId="39" fillId="26" borderId="30" xfId="0" applyFont="1" applyFill="1" applyBorder="1" applyAlignment="1">
      <alignment horizontal="center" vertical="center"/>
    </xf>
    <xf numFmtId="0" fontId="31" fillId="26" borderId="30" xfId="0" applyFont="1" applyFill="1" applyBorder="1" applyAlignment="1">
      <alignment horizontal="center" vertical="center"/>
    </xf>
    <xf numFmtId="0" fontId="26" fillId="0" borderId="32" xfId="0" applyFont="1" applyBorder="1" applyAlignment="1" applyProtection="1">
      <alignment horizontal="center" vertical="center"/>
      <protection locked="0"/>
    </xf>
    <xf numFmtId="0" fontId="30" fillId="0" borderId="32" xfId="0" applyFont="1" applyBorder="1" applyAlignment="1" applyProtection="1">
      <alignment horizontal="center" vertical="center"/>
      <protection locked="0"/>
    </xf>
    <xf numFmtId="0" fontId="34" fillId="26" borderId="2" xfId="0" applyFont="1" applyFill="1" applyBorder="1" applyAlignment="1">
      <alignment horizontal="left"/>
    </xf>
    <xf numFmtId="0" fontId="34" fillId="26" borderId="0" xfId="0" applyFont="1" applyFill="1" applyAlignment="1">
      <alignment horizontal="left"/>
    </xf>
    <xf numFmtId="0" fontId="29" fillId="26" borderId="16" xfId="0" applyFont="1" applyFill="1" applyBorder="1" applyAlignment="1">
      <alignment horizontal="center" vertical="center" textRotation="90"/>
    </xf>
    <xf numFmtId="0" fontId="29" fillId="26" borderId="15" xfId="0" applyFont="1" applyFill="1" applyBorder="1" applyAlignment="1">
      <alignment horizontal="center" vertical="center" textRotation="90"/>
    </xf>
    <xf numFmtId="0" fontId="34" fillId="26" borderId="0" xfId="0" applyFont="1" applyFill="1" applyAlignment="1">
      <alignment horizontal="left" wrapText="1"/>
    </xf>
    <xf numFmtId="0" fontId="34" fillId="0" borderId="1" xfId="0" applyFont="1" applyBorder="1" applyAlignment="1" applyProtection="1">
      <alignment horizontal="left" vertical="center"/>
      <protection locked="0"/>
    </xf>
    <xf numFmtId="0" fontId="32" fillId="26" borderId="0" xfId="0" applyFont="1" applyFill="1" applyAlignment="1">
      <alignment horizontal="center" vertical="center"/>
    </xf>
    <xf numFmtId="0" fontId="0" fillId="26" borderId="0" xfId="0" applyFill="1" applyAlignment="1">
      <alignment horizontal="center" vertical="center"/>
    </xf>
    <xf numFmtId="14" fontId="34" fillId="26" borderId="0" xfId="0" applyNumberFormat="1" applyFont="1" applyFill="1" applyAlignment="1" applyProtection="1">
      <alignment horizontal="left"/>
      <protection locked="0"/>
    </xf>
    <xf numFmtId="0" fontId="51" fillId="28" borderId="1" xfId="0" applyFont="1" applyFill="1" applyBorder="1" applyAlignment="1">
      <alignment horizontal="center" vertical="center" textRotation="45"/>
    </xf>
    <xf numFmtId="0" fontId="52" fillId="28" borderId="1" xfId="0" applyFont="1" applyFill="1" applyBorder="1" applyAlignment="1">
      <alignment vertical="center" textRotation="45"/>
    </xf>
    <xf numFmtId="0" fontId="34" fillId="26" borderId="0" xfId="0" applyFont="1" applyFill="1" applyAlignment="1">
      <alignment horizontal="left" vertical="center"/>
    </xf>
    <xf numFmtId="0" fontId="41" fillId="27" borderId="1" xfId="0" applyFont="1" applyFill="1" applyBorder="1" applyAlignment="1">
      <alignment horizontal="center" vertical="center" textRotation="45"/>
    </xf>
    <xf numFmtId="0" fontId="41" fillId="27" borderId="1" xfId="0" applyFont="1" applyFill="1" applyBorder="1" applyAlignment="1">
      <alignment vertical="center" textRotation="45"/>
    </xf>
    <xf numFmtId="0" fontId="36" fillId="0" borderId="41" xfId="0" applyFont="1" applyBorder="1" applyAlignment="1" applyProtection="1">
      <alignment horizontal="center" vertical="center" wrapText="1" readingOrder="1"/>
      <protection locked="0"/>
    </xf>
    <xf numFmtId="0" fontId="36" fillId="0" borderId="2" xfId="0" applyFont="1" applyBorder="1" applyAlignment="1" applyProtection="1">
      <alignment horizontal="center" vertical="center" wrapText="1" readingOrder="1"/>
      <protection locked="0"/>
    </xf>
    <xf numFmtId="0" fontId="36" fillId="0" borderId="3" xfId="0" applyFont="1" applyBorder="1" applyAlignment="1" applyProtection="1">
      <alignment horizontal="center" vertical="center" wrapText="1" readingOrder="1"/>
      <protection locked="0"/>
    </xf>
    <xf numFmtId="0" fontId="34" fillId="0" borderId="1" xfId="0" applyFont="1" applyBorder="1" applyAlignment="1" applyProtection="1">
      <alignment horizontal="left" vertical="center" wrapText="1"/>
      <protection locked="0"/>
    </xf>
    <xf numFmtId="0" fontId="35" fillId="0" borderId="1" xfId="0" applyFont="1" applyBorder="1" applyAlignment="1" applyProtection="1">
      <alignment horizontal="left" vertical="center" wrapText="1"/>
      <protection locked="0"/>
    </xf>
    <xf numFmtId="0" fontId="0" fillId="26" borderId="0" xfId="0" applyFill="1" applyAlignment="1">
      <alignment horizontal="left"/>
    </xf>
    <xf numFmtId="14" fontId="2" fillId="0" borderId="1" xfId="1" applyNumberFormat="1" applyFill="1" applyBorder="1" applyAlignment="1" applyProtection="1">
      <alignment horizontal="left" vertical="center"/>
      <protection locked="0"/>
    </xf>
    <xf numFmtId="0" fontId="0" fillId="0" borderId="1" xfId="0" applyBorder="1" applyAlignment="1" applyProtection="1">
      <alignment horizontal="left" vertical="center"/>
      <protection locked="0"/>
    </xf>
    <xf numFmtId="1" fontId="34" fillId="0" borderId="1" xfId="0" applyNumberFormat="1" applyFont="1" applyBorder="1" applyAlignment="1" applyProtection="1">
      <alignment horizontal="left" vertical="center" wrapText="1"/>
      <protection locked="0"/>
    </xf>
    <xf numFmtId="1" fontId="34" fillId="0" borderId="1" xfId="0" applyNumberFormat="1" applyFont="1" applyBorder="1" applyAlignment="1" applyProtection="1">
      <alignment horizontal="left" vertical="center"/>
      <protection locked="0"/>
    </xf>
    <xf numFmtId="0" fontId="36" fillId="26" borderId="29" xfId="0" applyFont="1" applyFill="1" applyBorder="1" applyAlignment="1">
      <alignment horizontal="center"/>
    </xf>
    <xf numFmtId="0" fontId="36" fillId="26" borderId="0" xfId="0" applyFont="1" applyFill="1" applyAlignment="1">
      <alignment horizontal="center"/>
    </xf>
    <xf numFmtId="0" fontId="36" fillId="0" borderId="1" xfId="0" applyFont="1" applyBorder="1" applyAlignment="1" applyProtection="1">
      <alignment horizontal="left" vertical="center" wrapText="1"/>
      <protection locked="0"/>
    </xf>
    <xf numFmtId="0" fontId="0" fillId="0" borderId="1" xfId="0" applyBorder="1" applyAlignment="1" applyProtection="1">
      <alignment vertical="center" wrapText="1"/>
      <protection locked="0"/>
    </xf>
    <xf numFmtId="0" fontId="36" fillId="0" borderId="2" xfId="0" applyFont="1" applyBorder="1" applyAlignment="1" applyProtection="1">
      <alignment vertical="center" wrapText="1"/>
      <protection locked="0"/>
    </xf>
    <xf numFmtId="0" fontId="24" fillId="0" borderId="3" xfId="0" applyFont="1" applyBorder="1" applyAlignment="1" applyProtection="1">
      <alignment vertical="center" wrapText="1"/>
      <protection locked="0"/>
    </xf>
    <xf numFmtId="0" fontId="36" fillId="0" borderId="2" xfId="0" applyFont="1" applyBorder="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0" fontId="36" fillId="0" borderId="41" xfId="0" applyFont="1" applyBorder="1" applyAlignment="1" applyProtection="1">
      <alignment horizontal="center" vertical="center" wrapText="1"/>
      <protection locked="0"/>
    </xf>
    <xf numFmtId="0" fontId="36" fillId="0" borderId="2" xfId="0" applyFont="1" applyBorder="1" applyAlignment="1" applyProtection="1">
      <alignment horizontal="center" vertical="center" wrapText="1"/>
      <protection locked="0"/>
    </xf>
    <xf numFmtId="0" fontId="36" fillId="0" borderId="3" xfId="0" applyFont="1" applyBorder="1" applyAlignment="1" applyProtection="1">
      <alignment horizontal="center" vertical="center" wrapText="1"/>
      <protection locked="0"/>
    </xf>
    <xf numFmtId="0" fontId="0" fillId="26" borderId="0" xfId="0" applyFill="1" applyAlignment="1">
      <alignment horizontal="left" vertical="center"/>
    </xf>
    <xf numFmtId="0" fontId="35" fillId="26" borderId="0" xfId="0" applyFont="1" applyFill="1" applyAlignment="1">
      <alignment horizontal="left" vertical="center"/>
    </xf>
    <xf numFmtId="0" fontId="32" fillId="3" borderId="0" xfId="0" applyFont="1" applyFill="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left" vertical="center" wrapText="1"/>
      <protection locked="0"/>
    </xf>
    <xf numFmtId="14" fontId="34" fillId="0" borderId="1" xfId="0" applyNumberFormat="1" applyFont="1" applyBorder="1" applyAlignment="1" applyProtection="1">
      <alignment horizontal="left" vertical="center"/>
      <protection locked="0"/>
    </xf>
    <xf numFmtId="0" fontId="34" fillId="0" borderId="3" xfId="0" applyFont="1" applyBorder="1" applyAlignment="1" applyProtection="1">
      <alignment horizontal="left" vertical="center" wrapText="1"/>
      <protection locked="0"/>
    </xf>
    <xf numFmtId="0" fontId="34" fillId="26" borderId="0" xfId="0" applyFont="1" applyFill="1" applyAlignment="1" applyProtection="1">
      <alignment horizontal="left"/>
      <protection locked="0"/>
    </xf>
    <xf numFmtId="0" fontId="34" fillId="0" borderId="1" xfId="1" applyFont="1" applyFill="1" applyBorder="1" applyAlignment="1" applyProtection="1">
      <alignment horizontal="left" vertical="center"/>
      <protection locked="0"/>
    </xf>
    <xf numFmtId="0" fontId="34" fillId="26" borderId="0" xfId="0" applyFont="1" applyFill="1" applyAlignment="1">
      <alignment horizontal="left" vertical="center" wrapText="1"/>
    </xf>
    <xf numFmtId="0" fontId="34" fillId="3" borderId="0" xfId="0" applyFont="1" applyFill="1" applyAlignment="1">
      <alignment horizontal="left"/>
    </xf>
    <xf numFmtId="0" fontId="36" fillId="3" borderId="6" xfId="0" applyFont="1" applyFill="1" applyBorder="1" applyAlignment="1">
      <alignment horizontal="left" vertical="center" wrapText="1"/>
    </xf>
    <xf numFmtId="0" fontId="36" fillId="3" borderId="18" xfId="0" applyFont="1" applyFill="1" applyBorder="1" applyAlignment="1">
      <alignment horizontal="left" vertical="center" wrapText="1"/>
    </xf>
    <xf numFmtId="0" fontId="36" fillId="3" borderId="7" xfId="0" applyFont="1" applyFill="1" applyBorder="1" applyAlignment="1">
      <alignment horizontal="left" vertical="center" wrapText="1"/>
    </xf>
    <xf numFmtId="0" fontId="36" fillId="3" borderId="8" xfId="0" applyFont="1" applyFill="1" applyBorder="1" applyAlignment="1">
      <alignment horizontal="left" vertical="center" wrapText="1"/>
    </xf>
    <xf numFmtId="0" fontId="36" fillId="3" borderId="0" xfId="0" applyFont="1" applyFill="1" applyAlignment="1">
      <alignment horizontal="left" vertical="center" wrapText="1"/>
    </xf>
    <xf numFmtId="0" fontId="36" fillId="3" borderId="9" xfId="0" applyFont="1" applyFill="1" applyBorder="1" applyAlignment="1">
      <alignment horizontal="left" vertical="center" wrapText="1"/>
    </xf>
    <xf numFmtId="0" fontId="36" fillId="3" borderId="4" xfId="0" applyFont="1" applyFill="1" applyBorder="1" applyAlignment="1">
      <alignment horizontal="left" vertical="center" wrapText="1"/>
    </xf>
    <xf numFmtId="0" fontId="36" fillId="3" borderId="10" xfId="0" applyFont="1" applyFill="1" applyBorder="1" applyAlignment="1">
      <alignment horizontal="left" vertical="center" wrapText="1"/>
    </xf>
    <xf numFmtId="0" fontId="36" fillId="3" borderId="5" xfId="0" applyFont="1" applyFill="1" applyBorder="1" applyAlignment="1">
      <alignment horizontal="left" vertical="center" wrapText="1"/>
    </xf>
    <xf numFmtId="14" fontId="36" fillId="3" borderId="17" xfId="0" applyNumberFormat="1" applyFont="1" applyFill="1" applyBorder="1" applyAlignment="1" applyProtection="1">
      <alignment horizontal="left" vertical="center" wrapText="1"/>
      <protection locked="0"/>
    </xf>
    <xf numFmtId="14" fontId="36" fillId="3" borderId="34" xfId="0" applyNumberFormat="1" applyFont="1" applyFill="1" applyBorder="1" applyAlignment="1" applyProtection="1">
      <alignment horizontal="left" vertical="center" wrapText="1"/>
      <protection locked="0"/>
    </xf>
    <xf numFmtId="14" fontId="36" fillId="3" borderId="35" xfId="0" applyNumberFormat="1" applyFont="1" applyFill="1" applyBorder="1" applyAlignment="1" applyProtection="1">
      <alignment horizontal="left" vertical="center" wrapText="1"/>
      <protection locked="0"/>
    </xf>
    <xf numFmtId="0" fontId="33" fillId="3" borderId="1" xfId="0" applyFont="1" applyFill="1" applyBorder="1" applyAlignment="1">
      <alignment horizontal="center" vertical="center"/>
    </xf>
    <xf numFmtId="0" fontId="0" fillId="0" borderId="1" xfId="0" applyBorder="1" applyAlignment="1">
      <alignment vertical="center"/>
    </xf>
    <xf numFmtId="0" fontId="0" fillId="3" borderId="1" xfId="0" applyFill="1" applyBorder="1" applyAlignment="1">
      <alignment horizontal="center" vertical="center"/>
    </xf>
    <xf numFmtId="0" fontId="36" fillId="3" borderId="1" xfId="0" applyFont="1" applyFill="1" applyBorder="1" applyAlignment="1" applyProtection="1">
      <alignment horizontal="left" vertical="center" wrapText="1" readingOrder="1"/>
      <protection locked="0"/>
    </xf>
    <xf numFmtId="0" fontId="34" fillId="3" borderId="1" xfId="0" applyFont="1" applyFill="1" applyBorder="1" applyAlignment="1">
      <alignment horizontal="left" vertical="center" wrapText="1"/>
    </xf>
    <xf numFmtId="0" fontId="35" fillId="3" borderId="1" xfId="0" applyFont="1" applyFill="1" applyBorder="1" applyAlignment="1">
      <alignment horizontal="left" vertical="center" wrapText="1"/>
    </xf>
    <xf numFmtId="0" fontId="0" fillId="3" borderId="0" xfId="0" applyFill="1" applyAlignment="1">
      <alignment horizontal="left"/>
    </xf>
    <xf numFmtId="0" fontId="35" fillId="3" borderId="0" xfId="0" applyFont="1" applyFill="1" applyAlignment="1">
      <alignment horizontal="left"/>
    </xf>
    <xf numFmtId="0" fontId="36" fillId="3" borderId="1" xfId="0" applyFont="1" applyFill="1" applyBorder="1" applyAlignment="1" applyProtection="1">
      <alignment horizontal="left" vertical="center" wrapText="1"/>
      <protection locked="0"/>
    </xf>
    <xf numFmtId="0" fontId="0" fillId="3" borderId="1" xfId="0" applyFill="1" applyBorder="1" applyAlignment="1">
      <alignment vertical="center" wrapText="1"/>
    </xf>
    <xf numFmtId="0" fontId="36" fillId="3" borderId="2" xfId="0" applyFont="1" applyFill="1" applyBorder="1" applyAlignment="1">
      <alignment vertical="center" wrapText="1"/>
    </xf>
    <xf numFmtId="0" fontId="24" fillId="3" borderId="3" xfId="0" applyFont="1" applyFill="1" applyBorder="1" applyAlignment="1">
      <alignment vertical="center" wrapText="1"/>
    </xf>
    <xf numFmtId="0" fontId="36" fillId="3" borderId="2" xfId="0" applyFont="1" applyFill="1" applyBorder="1" applyAlignment="1">
      <alignment horizontal="left" vertical="center" wrapText="1"/>
    </xf>
    <xf numFmtId="0" fontId="24" fillId="3" borderId="3" xfId="0" applyFont="1" applyFill="1" applyBorder="1" applyAlignment="1">
      <alignment horizontal="left" vertical="center" wrapText="1"/>
    </xf>
    <xf numFmtId="0" fontId="36" fillId="3"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7" fillId="2" borderId="29" xfId="0" applyFont="1" applyFill="1" applyBorder="1" applyAlignment="1" applyProtection="1">
      <alignment horizontal="left" vertical="center" wrapText="1"/>
      <protection locked="0"/>
    </xf>
    <xf numFmtId="0" fontId="1" fillId="2" borderId="0" xfId="0" applyFont="1" applyFill="1" applyAlignment="1">
      <alignment horizontal="right" vertical="center"/>
    </xf>
    <xf numFmtId="0" fontId="27" fillId="2" borderId="6" xfId="0" applyFont="1" applyFill="1" applyBorder="1" applyAlignment="1" applyProtection="1">
      <alignment horizontal="center" vertical="center" wrapText="1"/>
      <protection locked="0"/>
    </xf>
    <xf numFmtId="0" fontId="27" fillId="2" borderId="18"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4" xfId="0" applyFont="1" applyFill="1" applyBorder="1" applyAlignment="1" applyProtection="1">
      <alignment horizontal="center" vertical="center" wrapText="1"/>
      <protection locked="0"/>
    </xf>
    <xf numFmtId="0" fontId="27" fillId="2" borderId="10" xfId="0" applyFont="1" applyFill="1" applyBorder="1" applyAlignment="1" applyProtection="1">
      <alignment horizontal="center" vertical="center" wrapText="1"/>
      <protection locked="0"/>
    </xf>
    <xf numFmtId="0" fontId="27" fillId="2" borderId="5" xfId="0" applyFont="1" applyFill="1" applyBorder="1" applyAlignment="1" applyProtection="1">
      <alignment horizontal="center" vertical="center" wrapText="1"/>
      <protection locked="0"/>
    </xf>
    <xf numFmtId="0" fontId="36" fillId="3" borderId="29" xfId="0" applyFont="1" applyFill="1" applyBorder="1" applyAlignment="1">
      <alignment horizontal="center"/>
    </xf>
    <xf numFmtId="0" fontId="36" fillId="3" borderId="0" xfId="0" applyFont="1" applyFill="1" applyAlignment="1">
      <alignment horizontal="center"/>
    </xf>
    <xf numFmtId="0" fontId="46" fillId="3" borderId="13" xfId="0" applyFont="1" applyFill="1" applyBorder="1" applyAlignment="1">
      <alignment horizontal="right" vertical="center"/>
    </xf>
    <xf numFmtId="0" fontId="46" fillId="3" borderId="30" xfId="0" applyFont="1" applyFill="1" applyBorder="1" applyAlignment="1">
      <alignment horizontal="right" vertical="center"/>
    </xf>
    <xf numFmtId="0" fontId="46" fillId="3" borderId="14" xfId="0" applyFont="1" applyFill="1" applyBorder="1" applyAlignment="1">
      <alignment horizontal="right" vertical="center"/>
    </xf>
    <xf numFmtId="0" fontId="46" fillId="3" borderId="36" xfId="0" applyFont="1" applyFill="1" applyBorder="1" applyAlignment="1">
      <alignment horizontal="right" vertical="center"/>
    </xf>
    <xf numFmtId="0" fontId="46" fillId="3" borderId="29" xfId="0" applyFont="1" applyFill="1" applyBorder="1" applyAlignment="1">
      <alignment horizontal="right" vertical="center"/>
    </xf>
    <xf numFmtId="0" fontId="46" fillId="3" borderId="31" xfId="0" applyFont="1" applyFill="1" applyBorder="1" applyAlignment="1">
      <alignment horizontal="right" vertical="center"/>
    </xf>
    <xf numFmtId="0" fontId="39" fillId="3" borderId="40" xfId="0" applyFont="1" applyFill="1" applyBorder="1" applyAlignment="1">
      <alignment horizontal="center" vertical="center"/>
    </xf>
    <xf numFmtId="0" fontId="39" fillId="3" borderId="10" xfId="0" applyFont="1" applyFill="1" applyBorder="1" applyAlignment="1">
      <alignment horizontal="center" vertical="center"/>
    </xf>
    <xf numFmtId="0" fontId="36" fillId="3" borderId="37" xfId="0" applyFont="1" applyFill="1" applyBorder="1" applyAlignment="1">
      <alignment horizontal="left" vertical="center" wrapText="1"/>
    </xf>
    <xf numFmtId="0" fontId="36" fillId="3" borderId="38" xfId="0" applyFont="1" applyFill="1" applyBorder="1" applyAlignment="1">
      <alignment horizontal="left" vertical="center" wrapText="1"/>
    </xf>
    <xf numFmtId="0" fontId="36" fillId="3" borderId="39" xfId="0" applyFont="1" applyFill="1" applyBorder="1" applyAlignment="1">
      <alignment horizontal="left" vertical="center" wrapText="1"/>
    </xf>
    <xf numFmtId="0" fontId="29" fillId="3" borderId="16" xfId="0" applyFont="1" applyFill="1" applyBorder="1" applyAlignment="1">
      <alignment horizontal="center" vertical="center" textRotation="90"/>
    </xf>
    <xf numFmtId="0" fontId="29" fillId="3" borderId="15" xfId="0" applyFont="1" applyFill="1" applyBorder="1" applyAlignment="1">
      <alignment horizontal="center" vertical="center" textRotation="90"/>
    </xf>
    <xf numFmtId="14" fontId="34" fillId="3" borderId="11" xfId="0" applyNumberFormat="1" applyFont="1" applyFill="1" applyBorder="1" applyAlignment="1" applyProtection="1">
      <alignment horizontal="left" vertical="center" wrapText="1"/>
      <protection locked="0"/>
    </xf>
    <xf numFmtId="14" fontId="34" fillId="3" borderId="0" xfId="0" applyNumberFormat="1" applyFont="1" applyFill="1" applyAlignment="1" applyProtection="1">
      <alignment horizontal="left" vertical="center" wrapText="1"/>
      <protection locked="0"/>
    </xf>
    <xf numFmtId="14" fontId="34" fillId="3" borderId="9" xfId="0" applyNumberFormat="1" applyFont="1" applyFill="1" applyBorder="1" applyAlignment="1" applyProtection="1">
      <alignment horizontal="left" vertical="center" wrapText="1"/>
      <protection locked="0"/>
    </xf>
    <xf numFmtId="0" fontId="34" fillId="3" borderId="3" xfId="0" applyFont="1" applyFill="1" applyBorder="1" applyAlignment="1">
      <alignment horizontal="left" vertical="center" wrapText="1"/>
    </xf>
    <xf numFmtId="0" fontId="34" fillId="3" borderId="0" xfId="0" applyFont="1" applyFill="1" applyAlignment="1">
      <alignment horizontal="left" vertical="center"/>
    </xf>
    <xf numFmtId="0" fontId="0" fillId="27" borderId="1" xfId="0" applyFill="1" applyBorder="1" applyAlignment="1">
      <alignment horizontal="center" vertical="center"/>
    </xf>
    <xf numFmtId="0" fontId="0" fillId="27" borderId="1" xfId="0" applyFill="1" applyBorder="1" applyAlignment="1">
      <alignment vertical="center"/>
    </xf>
    <xf numFmtId="0" fontId="33" fillId="28" borderId="1" xfId="0" applyFont="1" applyFill="1" applyBorder="1" applyAlignment="1">
      <alignment horizontal="center" vertical="center"/>
    </xf>
    <xf numFmtId="0" fontId="0" fillId="28" borderId="1" xfId="0" applyFill="1" applyBorder="1" applyAlignment="1">
      <alignment vertical="center"/>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0" fillId="0" borderId="1" xfId="0" applyBorder="1" applyAlignment="1">
      <alignment vertical="center" wrapText="1"/>
    </xf>
    <xf numFmtId="0" fontId="36" fillId="0" borderId="2" xfId="0" applyFont="1" applyBorder="1" applyAlignment="1">
      <alignment horizontal="left" vertical="center" wrapText="1"/>
    </xf>
    <xf numFmtId="0" fontId="24" fillId="0" borderId="3" xfId="0" applyFont="1" applyBorder="1" applyAlignment="1">
      <alignment horizontal="left" vertical="center" wrapText="1"/>
    </xf>
    <xf numFmtId="0" fontId="36" fillId="0" borderId="2" xfId="0" applyFont="1" applyBorder="1" applyAlignment="1">
      <alignment vertical="center" wrapText="1"/>
    </xf>
    <xf numFmtId="0" fontId="24" fillId="0" borderId="3" xfId="0" applyFont="1" applyBorder="1" applyAlignment="1">
      <alignment vertical="center" wrapText="1"/>
    </xf>
    <xf numFmtId="0" fontId="36" fillId="0" borderId="1" xfId="0" applyFont="1" applyBorder="1" applyAlignment="1" applyProtection="1">
      <alignment horizontal="left" vertical="center" wrapText="1" readingOrder="1"/>
      <protection locked="0"/>
    </xf>
    <xf numFmtId="0" fontId="34" fillId="0" borderId="3" xfId="0" applyFont="1" applyBorder="1" applyAlignment="1">
      <alignment horizontal="left" vertical="center" wrapText="1"/>
    </xf>
    <xf numFmtId="0" fontId="36" fillId="0" borderId="1" xfId="0" applyFont="1" applyBorder="1" applyAlignment="1">
      <alignment horizontal="left" vertical="center" wrapText="1"/>
    </xf>
    <xf numFmtId="0" fontId="0" fillId="0" borderId="1" xfId="0" applyBorder="1" applyAlignment="1">
      <alignment horizontal="left" vertical="center" wrapText="1"/>
    </xf>
    <xf numFmtId="0" fontId="34" fillId="0" borderId="1" xfId="0" applyFont="1" applyBorder="1" applyAlignment="1">
      <alignment horizontal="left" vertical="center"/>
    </xf>
    <xf numFmtId="14" fontId="34" fillId="0" borderId="1" xfId="0" applyNumberFormat="1" applyFont="1" applyBorder="1" applyAlignment="1">
      <alignment horizontal="left" vertical="center"/>
    </xf>
    <xf numFmtId="0" fontId="0" fillId="0" borderId="1" xfId="0" applyBorder="1" applyAlignment="1">
      <alignment horizontal="left" vertical="center"/>
    </xf>
    <xf numFmtId="1" fontId="34" fillId="0" borderId="1" xfId="0" applyNumberFormat="1" applyFont="1" applyBorder="1" applyAlignment="1">
      <alignment horizontal="left" vertical="center" wrapText="1"/>
    </xf>
    <xf numFmtId="1" fontId="34" fillId="0" borderId="1" xfId="0" applyNumberFormat="1" applyFont="1" applyBorder="1" applyAlignment="1">
      <alignment horizontal="left" vertical="center"/>
    </xf>
    <xf numFmtId="0" fontId="26" fillId="0" borderId="32" xfId="0" applyFont="1" applyBorder="1" applyAlignment="1">
      <alignment horizontal="center" vertical="center"/>
    </xf>
    <xf numFmtId="0" fontId="30" fillId="0" borderId="32" xfId="0" applyFont="1" applyBorder="1" applyAlignment="1">
      <alignment horizontal="center" vertical="center"/>
    </xf>
    <xf numFmtId="0" fontId="27" fillId="2" borderId="29" xfId="0" applyFont="1" applyFill="1" applyBorder="1" applyAlignment="1" applyProtection="1">
      <alignment horizontal="center" vertical="center" wrapText="1"/>
      <protection locked="0"/>
    </xf>
    <xf numFmtId="0" fontId="27" fillId="0" borderId="0" xfId="0" applyFont="1" applyAlignment="1" applyProtection="1">
      <alignment horizontal="left" vertical="center" wrapText="1"/>
      <protection locked="0"/>
    </xf>
    <xf numFmtId="0" fontId="27" fillId="0" borderId="29" xfId="0" applyFont="1" applyBorder="1" applyAlignment="1" applyProtection="1">
      <alignment horizontal="left" vertical="center" wrapText="1"/>
      <protection locked="0"/>
    </xf>
    <xf numFmtId="0" fontId="1" fillId="0" borderId="0" xfId="0" applyFont="1" applyAlignment="1" applyProtection="1">
      <alignment horizontal="right" vertical="center" wrapText="1"/>
      <protection locked="0"/>
    </xf>
    <xf numFmtId="0" fontId="45" fillId="0" borderId="0" xfId="0" applyFont="1" applyAlignment="1" applyProtection="1">
      <alignment horizontal="left" vertical="center" wrapText="1"/>
      <protection locked="0"/>
    </xf>
    <xf numFmtId="0" fontId="45" fillId="0" borderId="29" xfId="0" applyFont="1" applyBorder="1" applyAlignment="1" applyProtection="1">
      <alignment horizontal="left" vertical="center" wrapText="1"/>
      <protection locked="0"/>
    </xf>
    <xf numFmtId="0" fontId="1" fillId="0" borderId="0" xfId="0" applyFont="1" applyAlignment="1">
      <alignment horizontal="right"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33" fillId="3" borderId="6" xfId="0" applyFont="1" applyFill="1" applyBorder="1" applyAlignment="1">
      <alignment horizontal="center" vertical="center"/>
    </xf>
    <xf numFmtId="0" fontId="33" fillId="3" borderId="7" xfId="0" applyFont="1" applyFill="1" applyBorder="1" applyAlignment="1">
      <alignment horizontal="center" vertical="center"/>
    </xf>
    <xf numFmtId="0" fontId="33" fillId="3" borderId="8" xfId="0" applyFont="1" applyFill="1" applyBorder="1" applyAlignment="1">
      <alignment horizontal="center" vertical="center"/>
    </xf>
    <xf numFmtId="0" fontId="33" fillId="3" borderId="9" xfId="0" applyFont="1" applyFill="1" applyBorder="1" applyAlignment="1">
      <alignment horizontal="center" vertical="center"/>
    </xf>
    <xf numFmtId="0" fontId="33" fillId="3" borderId="4" xfId="0" applyFont="1" applyFill="1" applyBorder="1" applyAlignment="1">
      <alignment horizontal="center" vertical="center"/>
    </xf>
    <xf numFmtId="0" fontId="33" fillId="3" borderId="5" xfId="0" applyFont="1" applyFill="1" applyBorder="1" applyAlignment="1">
      <alignment horizontal="center" vertical="center"/>
    </xf>
    <xf numFmtId="0" fontId="32" fillId="3" borderId="10" xfId="0" applyFont="1" applyFill="1" applyBorder="1" applyAlignment="1">
      <alignment horizontal="center" vertical="center"/>
    </xf>
    <xf numFmtId="0" fontId="41" fillId="0" borderId="36" xfId="0" applyFont="1" applyBorder="1" applyAlignment="1">
      <alignment horizontal="right" vertical="center"/>
    </xf>
    <xf numFmtId="0" fontId="46" fillId="3" borderId="11" xfId="0" applyFont="1" applyFill="1" applyBorder="1" applyAlignment="1">
      <alignment horizontal="right" vertical="center"/>
    </xf>
    <xf numFmtId="0" fontId="46" fillId="3" borderId="0" xfId="0" applyFont="1" applyFill="1" applyAlignment="1">
      <alignment horizontal="right" vertical="center"/>
    </xf>
    <xf numFmtId="0" fontId="46" fillId="3" borderId="12" xfId="0" applyFont="1" applyFill="1" applyBorder="1" applyAlignment="1">
      <alignment horizontal="right" vertical="center"/>
    </xf>
    <xf numFmtId="0" fontId="34" fillId="3" borderId="10" xfId="0" applyFont="1" applyFill="1" applyBorder="1" applyAlignment="1">
      <alignment horizontal="left"/>
    </xf>
    <xf numFmtId="0" fontId="34" fillId="3" borderId="41" xfId="0" applyFont="1" applyFill="1" applyBorder="1" applyAlignment="1">
      <alignment horizontal="left" vertical="center" wrapText="1"/>
    </xf>
    <xf numFmtId="0" fontId="34" fillId="3" borderId="2" xfId="0" applyFont="1" applyFill="1" applyBorder="1" applyAlignment="1">
      <alignment horizontal="left" vertical="center" wrapText="1"/>
    </xf>
    <xf numFmtId="0" fontId="34" fillId="3" borderId="10" xfId="0" applyFont="1" applyFill="1" applyBorder="1" applyAlignment="1">
      <alignment horizontal="left" vertical="center"/>
    </xf>
    <xf numFmtId="0" fontId="36" fillId="3" borderId="41" xfId="0" applyFont="1" applyFill="1" applyBorder="1" applyAlignment="1" applyProtection="1">
      <alignment horizontal="left" vertical="center" wrapText="1" readingOrder="1"/>
      <protection locked="0"/>
    </xf>
    <xf numFmtId="0" fontId="36" fillId="3" borderId="2" xfId="0" applyFont="1" applyFill="1" applyBorder="1" applyAlignment="1" applyProtection="1">
      <alignment horizontal="left" vertical="center" wrapText="1" readingOrder="1"/>
      <protection locked="0"/>
    </xf>
    <xf numFmtId="0" fontId="36" fillId="3" borderId="3" xfId="0" applyFont="1" applyFill="1" applyBorder="1" applyAlignment="1" applyProtection="1">
      <alignment horizontal="left" vertical="center" wrapText="1" readingOrder="1"/>
      <protection locked="0"/>
    </xf>
    <xf numFmtId="0" fontId="36" fillId="3" borderId="41" xfId="0" applyFont="1" applyFill="1" applyBorder="1" applyAlignment="1" applyProtection="1">
      <alignment horizontal="left" vertical="center" wrapText="1"/>
      <protection locked="0"/>
    </xf>
    <xf numFmtId="0" fontId="36" fillId="3" borderId="2" xfId="0" applyFont="1" applyFill="1" applyBorder="1" applyAlignment="1" applyProtection="1">
      <alignment horizontal="left" vertical="center" wrapText="1"/>
      <protection locked="0"/>
    </xf>
    <xf numFmtId="0" fontId="36" fillId="3" borderId="3" xfId="0" applyFont="1" applyFill="1" applyBorder="1" applyAlignment="1" applyProtection="1">
      <alignment horizontal="left" vertical="center" wrapText="1"/>
      <protection locked="0"/>
    </xf>
    <xf numFmtId="0" fontId="34" fillId="3" borderId="2" xfId="0" applyFont="1" applyFill="1" applyBorder="1" applyAlignment="1">
      <alignment horizontal="left"/>
    </xf>
    <xf numFmtId="0" fontId="36" fillId="3" borderId="41" xfId="0" applyFont="1" applyFill="1" applyBorder="1" applyAlignment="1">
      <alignment vertical="center" wrapText="1"/>
    </xf>
    <xf numFmtId="0" fontId="36" fillId="3" borderId="3" xfId="0" applyFont="1" applyFill="1" applyBorder="1" applyAlignment="1">
      <alignment vertical="center" wrapText="1"/>
    </xf>
    <xf numFmtId="0" fontId="36" fillId="3" borderId="41" xfId="0" applyFont="1" applyFill="1" applyBorder="1" applyAlignment="1">
      <alignment horizontal="left" vertical="center" wrapText="1"/>
    </xf>
    <xf numFmtId="0" fontId="36" fillId="3" borderId="3" xfId="0" applyFont="1" applyFill="1" applyBorder="1" applyAlignment="1">
      <alignment horizontal="left" vertical="center" wrapText="1"/>
    </xf>
    <xf numFmtId="0" fontId="6" fillId="0" borderId="13" xfId="51" applyBorder="1" applyAlignment="1">
      <alignment horizontal="center"/>
    </xf>
    <xf numFmtId="0" fontId="6" fillId="0" borderId="36" xfId="51" applyBorder="1" applyAlignment="1">
      <alignment horizontal="center"/>
    </xf>
    <xf numFmtId="0" fontId="6" fillId="0" borderId="30" xfId="51" applyBorder="1" applyAlignment="1">
      <alignment horizontal="center"/>
    </xf>
    <xf numFmtId="0" fontId="6" fillId="0" borderId="29" xfId="51" applyBorder="1" applyAlignment="1">
      <alignment horizontal="center"/>
    </xf>
    <xf numFmtId="0" fontId="22" fillId="0" borderId="44" xfId="51" applyFont="1" applyBorder="1" applyAlignment="1">
      <alignment horizontal="center" vertical="center"/>
    </xf>
    <xf numFmtId="0" fontId="22" fillId="0" borderId="43" xfId="51" applyFont="1" applyBorder="1" applyAlignment="1">
      <alignment horizontal="center" vertical="center"/>
    </xf>
    <xf numFmtId="0" fontId="22" fillId="0" borderId="42" xfId="51" applyFont="1" applyBorder="1" applyAlignment="1">
      <alignment horizontal="center" vertical="center"/>
    </xf>
    <xf numFmtId="0" fontId="45" fillId="0" borderId="14" xfId="51" applyFont="1" applyBorder="1" applyAlignment="1">
      <alignment horizontal="center" vertical="center" wrapText="1"/>
    </xf>
    <xf numFmtId="0" fontId="45" fillId="0" borderId="31" xfId="51" applyFont="1" applyBorder="1" applyAlignment="1">
      <alignment horizontal="center" vertical="center"/>
    </xf>
    <xf numFmtId="0" fontId="45" fillId="0" borderId="30" xfId="51" applyFont="1" applyBorder="1" applyAlignment="1">
      <alignment horizontal="center" vertical="center" wrapText="1"/>
    </xf>
    <xf numFmtId="0" fontId="45" fillId="0" borderId="29" xfId="51" applyFont="1" applyBorder="1" applyAlignment="1">
      <alignment horizontal="center" vertical="center"/>
    </xf>
    <xf numFmtId="0" fontId="6" fillId="31" borderId="13" xfId="51" applyFill="1" applyBorder="1" applyAlignment="1">
      <alignment horizontal="center" vertical="center"/>
    </xf>
    <xf numFmtId="0" fontId="6" fillId="31" borderId="30" xfId="51" applyFill="1" applyBorder="1" applyAlignment="1">
      <alignment horizontal="center" vertical="center"/>
    </xf>
    <xf numFmtId="0" fontId="6" fillId="31" borderId="14" xfId="51" applyFill="1" applyBorder="1" applyAlignment="1">
      <alignment horizontal="center" vertical="center"/>
    </xf>
    <xf numFmtId="0" fontId="6" fillId="31" borderId="36" xfId="51" applyFill="1" applyBorder="1" applyAlignment="1">
      <alignment horizontal="center" vertical="center"/>
    </xf>
    <xf numFmtId="0" fontId="6" fillId="31" borderId="29" xfId="51" applyFill="1" applyBorder="1" applyAlignment="1">
      <alignment horizontal="center" vertical="center"/>
    </xf>
    <xf numFmtId="0" fontId="6" fillId="31" borderId="31" xfId="51" applyFill="1" applyBorder="1" applyAlignment="1">
      <alignment horizontal="center" vertical="center"/>
    </xf>
    <xf numFmtId="0" fontId="22" fillId="0" borderId="15" xfId="51" applyFont="1" applyBorder="1" applyAlignment="1">
      <alignment horizontal="center" vertical="center" wrapText="1"/>
    </xf>
    <xf numFmtId="0" fontId="22" fillId="0" borderId="15" xfId="51" applyFont="1" applyBorder="1" applyAlignment="1">
      <alignment horizontal="center" vertical="center"/>
    </xf>
    <xf numFmtId="0" fontId="50" fillId="2" borderId="13" xfId="51" applyFont="1" applyFill="1" applyBorder="1" applyAlignment="1">
      <alignment horizontal="left" vertical="top"/>
    </xf>
    <xf numFmtId="0" fontId="50" fillId="2" borderId="30" xfId="51" applyFont="1" applyFill="1" applyBorder="1" applyAlignment="1">
      <alignment horizontal="left" vertical="top"/>
    </xf>
    <xf numFmtId="0" fontId="50" fillId="2" borderId="11" xfId="51" applyFont="1" applyFill="1" applyBorder="1" applyAlignment="1">
      <alignment horizontal="left" vertical="top"/>
    </xf>
    <xf numFmtId="0" fontId="50" fillId="2" borderId="0" xfId="51" applyFont="1" applyFill="1" applyAlignment="1">
      <alignment horizontal="left" vertical="top"/>
    </xf>
    <xf numFmtId="0" fontId="49" fillId="32" borderId="43" xfId="51" applyFont="1" applyFill="1" applyBorder="1" applyAlignment="1">
      <alignment horizontal="center"/>
    </xf>
    <xf numFmtId="0" fontId="49" fillId="32" borderId="42" xfId="51" applyFont="1" applyFill="1" applyBorder="1" applyAlignment="1">
      <alignment horizontal="center"/>
    </xf>
    <xf numFmtId="0" fontId="6" fillId="0" borderId="44" xfId="51" applyBorder="1" applyAlignment="1">
      <alignment horizontal="center"/>
    </xf>
    <xf numFmtId="0" fontId="6" fillId="0" borderId="43" xfId="51" applyBorder="1" applyAlignment="1">
      <alignment horizontal="center"/>
    </xf>
    <xf numFmtId="0" fontId="6" fillId="0" borderId="42" xfId="51" applyBorder="1" applyAlignment="1">
      <alignment horizontal="center"/>
    </xf>
    <xf numFmtId="0" fontId="6" fillId="2" borderId="11" xfId="51" applyFill="1" applyBorder="1" applyAlignment="1">
      <alignment horizontal="center"/>
    </xf>
    <xf numFmtId="0" fontId="6" fillId="2" borderId="0" xfId="51" applyFill="1" applyAlignment="1">
      <alignment horizontal="center"/>
    </xf>
    <xf numFmtId="0" fontId="6" fillId="2" borderId="12" xfId="51" applyFill="1" applyBorder="1" applyAlignment="1">
      <alignment horizontal="center"/>
    </xf>
    <xf numFmtId="0" fontId="6" fillId="2" borderId="41" xfId="51" applyFill="1" applyBorder="1" applyAlignment="1">
      <alignment horizontal="center"/>
    </xf>
    <xf numFmtId="0" fontId="6" fillId="2" borderId="2" xfId="51" applyFill="1" applyBorder="1" applyAlignment="1">
      <alignment horizontal="center"/>
    </xf>
    <xf numFmtId="0" fontId="6" fillId="2" borderId="3" xfId="51" applyFill="1" applyBorder="1" applyAlignment="1">
      <alignment horizontal="center"/>
    </xf>
    <xf numFmtId="0" fontId="43" fillId="0" borderId="15" xfId="51" applyFont="1" applyBorder="1" applyAlignment="1">
      <alignment horizontal="center" vertical="center" wrapText="1"/>
    </xf>
    <xf numFmtId="0" fontId="48" fillId="0" borderId="15" xfId="51" applyFont="1" applyBorder="1" applyAlignment="1">
      <alignment horizontal="center" vertical="center"/>
    </xf>
    <xf numFmtId="0" fontId="45" fillId="0" borderId="13" xfId="51" applyFont="1" applyBorder="1" applyAlignment="1">
      <alignment horizontal="center"/>
    </xf>
    <xf numFmtId="0" fontId="45" fillId="0" borderId="30" xfId="51" applyFont="1" applyBorder="1" applyAlignment="1">
      <alignment horizontal="center"/>
    </xf>
    <xf numFmtId="0" fontId="45" fillId="0" borderId="14" xfId="51" applyFont="1" applyBorder="1" applyAlignment="1">
      <alignment horizontal="center"/>
    </xf>
    <xf numFmtId="0" fontId="45" fillId="0" borderId="36" xfId="51" applyFont="1" applyBorder="1" applyAlignment="1">
      <alignment horizontal="center"/>
    </xf>
    <xf numFmtId="0" fontId="45" fillId="0" borderId="29" xfId="51" applyFont="1" applyBorder="1" applyAlignment="1">
      <alignment horizontal="center"/>
    </xf>
    <xf numFmtId="0" fontId="45" fillId="0" borderId="31" xfId="51" applyFont="1" applyBorder="1" applyAlignment="1">
      <alignment horizontal="center"/>
    </xf>
    <xf numFmtId="0" fontId="47" fillId="0" borderId="30" xfId="51" applyFont="1" applyBorder="1" applyAlignment="1">
      <alignment horizontal="center" vertical="center" wrapText="1"/>
    </xf>
    <xf numFmtId="0" fontId="47" fillId="0" borderId="29" xfId="51" applyFont="1" applyBorder="1" applyAlignment="1">
      <alignment horizontal="center" vertical="center"/>
    </xf>
    <xf numFmtId="0" fontId="22" fillId="0" borderId="44" xfId="51" applyFont="1" applyBorder="1" applyAlignment="1">
      <alignment horizontal="center" vertical="center" wrapText="1"/>
    </xf>
    <xf numFmtId="0" fontId="45" fillId="0" borderId="31" xfId="51" applyFont="1" applyBorder="1" applyAlignment="1">
      <alignment horizontal="center" vertical="center" wrapText="1"/>
    </xf>
    <xf numFmtId="0" fontId="6" fillId="0" borderId="13" xfId="51" applyBorder="1" applyAlignment="1">
      <alignment horizontal="center" wrapText="1"/>
    </xf>
    <xf numFmtId="0" fontId="22" fillId="0" borderId="13" xfId="51" applyFont="1" applyBorder="1" applyAlignment="1">
      <alignment horizontal="center" vertical="center"/>
    </xf>
    <xf numFmtId="0" fontId="22" fillId="0" borderId="16" xfId="51" applyFont="1" applyBorder="1" applyAlignment="1">
      <alignment horizontal="center" vertical="center" wrapText="1"/>
    </xf>
    <xf numFmtId="0" fontId="22" fillId="0" borderId="19" xfId="51" applyFont="1" applyBorder="1" applyAlignment="1">
      <alignment horizontal="center" vertical="center"/>
    </xf>
    <xf numFmtId="0" fontId="6" fillId="2" borderId="30" xfId="51" applyFill="1" applyBorder="1" applyAlignment="1">
      <alignment horizontal="center" vertical="center"/>
    </xf>
    <xf numFmtId="0" fontId="6" fillId="2" borderId="29" xfId="51" applyFill="1" applyBorder="1" applyAlignment="1">
      <alignment horizontal="center" vertical="center"/>
    </xf>
    <xf numFmtId="0" fontId="6" fillId="2" borderId="13" xfId="51" applyFill="1" applyBorder="1" applyAlignment="1">
      <alignment horizontal="center" vertical="center"/>
    </xf>
    <xf numFmtId="0" fontId="6" fillId="2" borderId="36" xfId="51" applyFill="1" applyBorder="1" applyAlignment="1">
      <alignment horizontal="center" vertical="center"/>
    </xf>
    <xf numFmtId="0" fontId="6" fillId="2" borderId="14" xfId="51" applyFill="1" applyBorder="1" applyAlignment="1">
      <alignment horizontal="center" vertical="center"/>
    </xf>
    <xf numFmtId="0" fontId="6" fillId="2" borderId="31" xfId="51" applyFill="1" applyBorder="1" applyAlignment="1">
      <alignment horizontal="center" vertical="center"/>
    </xf>
    <xf numFmtId="14" fontId="3" fillId="0" borderId="8" xfId="3" applyNumberFormat="1" applyFill="1" applyBorder="1" applyAlignment="1">
      <alignment horizontal="left" vertical="top" wrapText="1"/>
    </xf>
  </cellXfs>
  <cellStyles count="52">
    <cellStyle name="20% - Accent1" xfId="5" xr:uid="{23C4997B-D01F-46EC-A369-12AE93225A4C}"/>
    <cellStyle name="20% - Accent2" xfId="6" xr:uid="{49AB2E41-6695-4BF6-BB6D-0641777169FC}"/>
    <cellStyle name="20% - Accent3" xfId="7" xr:uid="{96FD734B-E032-42F0-936A-0F2D3E92CBCB}"/>
    <cellStyle name="20% - Accent4" xfId="8" xr:uid="{EF10DBA9-5699-4FA4-A2B3-3EE8DDDDD410}"/>
    <cellStyle name="20% - Accent5" xfId="9" xr:uid="{37B875AF-4537-4196-8687-F4519A3D4A70}"/>
    <cellStyle name="20% - Accent6" xfId="10" xr:uid="{23E9C72A-CFC7-416F-B8A4-E1EE9E4174E7}"/>
    <cellStyle name="40% - Accent1" xfId="11" xr:uid="{1AA59082-9EAA-4BB3-99A6-7A807C877B03}"/>
    <cellStyle name="40% - Accent2" xfId="12" xr:uid="{00AA945D-332B-4EBC-8CC7-3BCD01A9DD56}"/>
    <cellStyle name="40% - Accent3" xfId="13" xr:uid="{4A679CB0-21A4-458F-8902-1438B30BCBF3}"/>
    <cellStyle name="40% - Accent4" xfId="14" xr:uid="{D0F981FE-1B9F-4D16-8C7C-DFF33C91B2B2}"/>
    <cellStyle name="40% - Accent5" xfId="15" xr:uid="{4EA20B27-72B5-4724-962D-83C076B93889}"/>
    <cellStyle name="40% - Accent6" xfId="16" xr:uid="{1DDFD6DE-68E7-498F-846C-9963844E8506}"/>
    <cellStyle name="60% - Accent1" xfId="17" xr:uid="{42DB2880-71F1-40F2-A1E9-41099919046E}"/>
    <cellStyle name="60% - Accent2" xfId="18" xr:uid="{E86057FF-A263-4D8A-937A-338BB578ABC5}"/>
    <cellStyle name="60% - Accent3" xfId="19" xr:uid="{CEE0AD30-F90B-4750-9A3B-F4091964B618}"/>
    <cellStyle name="60% - Accent4" xfId="20" xr:uid="{F91CDE4E-83D1-4296-BE7B-ABF4AC31AB21}"/>
    <cellStyle name="60% - Accent5" xfId="21" xr:uid="{D4817519-E844-45A1-9E2B-F458A3DD9D56}"/>
    <cellStyle name="60% - Accent6" xfId="22" xr:uid="{840E738E-7639-4978-8CD6-4CB4A279DDDD}"/>
    <cellStyle name="Accent1" xfId="23" xr:uid="{C44B6804-1E20-4B85-A674-FCAC1761F02C}"/>
    <cellStyle name="Accent2" xfId="24" xr:uid="{91C29778-DFE5-48D2-BE39-E93DD559DBFD}"/>
    <cellStyle name="Accent3" xfId="25" xr:uid="{528B0F47-2310-49C8-A82C-0A4DEF196A35}"/>
    <cellStyle name="Accent4" xfId="26" xr:uid="{7208B5EF-35D6-435F-BFA5-5E1CBFD93C10}"/>
    <cellStyle name="Accent5" xfId="27" xr:uid="{B81C95FD-7522-492D-817D-BF854808E905}"/>
    <cellStyle name="Accent6" xfId="28" xr:uid="{930F5EBA-6CAB-402B-812B-5BFC55BCC4A1}"/>
    <cellStyle name="Bad" xfId="29" xr:uid="{24E1125C-27F1-4297-B956-CC0D6D49BD63}"/>
    <cellStyle name="Calculation" xfId="30" xr:uid="{F30D574A-7C9C-4111-9F45-A6E2282C565B}"/>
    <cellStyle name="Check Cell" xfId="31" xr:uid="{264CEF63-7AF7-4389-92AB-B31B6D6642D8}"/>
    <cellStyle name="Explanatory Text" xfId="32" xr:uid="{267ABBC8-0B3C-4451-B102-33D4BAB1767E}"/>
    <cellStyle name="Good" xfId="33" xr:uid="{605DEAAA-A370-4856-B59D-EF99C3B69B74}"/>
    <cellStyle name="Heading 1" xfId="34" xr:uid="{861899D2-ABBE-43B4-ACB7-EBE051F0FE38}"/>
    <cellStyle name="Heading 2" xfId="35" xr:uid="{8D1D5430-59C1-4896-8A30-C0954B045AEB}"/>
    <cellStyle name="Heading 3" xfId="36" xr:uid="{86FF5B07-3D44-4E12-9298-D33C89AA1FC3}"/>
    <cellStyle name="Heading 4" xfId="37" xr:uid="{F3675E2E-67CE-4952-BAA0-64D34BDEF3E1}"/>
    <cellStyle name="Input" xfId="38" xr:uid="{F2ED8C20-7BAD-4329-99E5-F57D2A4AC9FF}"/>
    <cellStyle name="Link" xfId="1" builtinId="8"/>
    <cellStyle name="Linked Cell" xfId="39" xr:uid="{DBE1CFEB-59CD-4E5B-8468-6E07E4FA666C}"/>
    <cellStyle name="Neutral" xfId="4" builtinId="28"/>
    <cellStyle name="Normal 2" xfId="40" xr:uid="{9F3083EB-C08D-484F-AE68-5BF1E05FF193}"/>
    <cellStyle name="Note" xfId="41" xr:uid="{F7B2F1D5-3805-4EAE-955E-C19924BB929E}"/>
    <cellStyle name="Output" xfId="42" xr:uid="{A4076199-6010-4C94-9139-8237A5810D4D}"/>
    <cellStyle name="Standard" xfId="0" builtinId="0"/>
    <cellStyle name="Standard 2" xfId="3" xr:uid="{595E7C24-2655-4F52-A380-0501E1F375EF}"/>
    <cellStyle name="Standard 2 2" xfId="43" xr:uid="{FB401004-F11F-4C0F-817A-0F04AF8203DF}"/>
    <cellStyle name="Standard 3" xfId="44" xr:uid="{DBA4CE44-1948-4DBD-8774-40894195D6C1}"/>
    <cellStyle name="Standard 3 2" xfId="2" xr:uid="{39EDF741-28B4-437A-B30F-01C41F10F882}"/>
    <cellStyle name="Standard 4" xfId="45" xr:uid="{C5CA840E-EB47-43B0-B711-387BDBFB5E8C}"/>
    <cellStyle name="Standard 5" xfId="46" xr:uid="{476ACF51-4F24-451E-8192-E5AF5F005856}"/>
    <cellStyle name="Standard 6" xfId="51" xr:uid="{124D2081-642A-4329-977D-BF40C87C68BB}"/>
    <cellStyle name="Title" xfId="47" xr:uid="{BE6A568E-0B81-4AA1-848C-CE22F0B58472}"/>
    <cellStyle name="Total" xfId="48" xr:uid="{3995BA83-C15F-44F2-BF85-458689288BA0}"/>
    <cellStyle name="Währung 2" xfId="49" xr:uid="{931C1154-A756-4824-BD85-D758016A574D}"/>
    <cellStyle name="Warning Text" xfId="50" xr:uid="{A1D3BF0D-AD9A-4639-A669-61FA4A799D3F}"/>
  </cellStyles>
  <dxfs count="42">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trlProps/ctrlProp1.xml><?xml version="1.0" encoding="utf-8"?>
<formControlPr xmlns="http://schemas.microsoft.com/office/spreadsheetml/2009/9/main" objectType="Drop" dropLines="3" dropStyle="combo" dx="26" fmlaLink="Language!$B$2" fmlaRange="Language!$A$3:$A$5" noThreeD="1" sel="1" val="0"/>
</file>

<file path=xl/ctrlProps/ctrlProp2.xml><?xml version="1.0" encoding="utf-8"?>
<formControlPr xmlns="http://schemas.microsoft.com/office/spreadsheetml/2009/9/main" objectType="Drop" dropLines="3" dropStyle="combo" dx="26" fmlaLink="Language!$B$2" fmlaRange="Language!$A$3:$A$5" noThreeD="1" sel="1" val="0"/>
</file>

<file path=xl/ctrlProps/ctrlProp3.xml><?xml version="1.0" encoding="utf-8"?>
<formControlPr xmlns="http://schemas.microsoft.com/office/spreadsheetml/2009/9/main" objectType="Drop" dropLines="3" dropStyle="combo" dx="26" fmlaLink="Language!$B$2" fmlaRange="Language!$A$3:$A$5" noThreeD="1" sel="1" val="0"/>
</file>

<file path=xl/ctrlProps/ctrlProp4.xml><?xml version="1.0" encoding="utf-8"?>
<formControlPr xmlns="http://schemas.microsoft.com/office/spreadsheetml/2009/9/main" objectType="Drop" dropLines="3" dropStyle="combo" dx="26" fmlaLink="Language!$B$2" fmlaRange="Language!$A$3:$A$5" noThreeD="1" sel="1" val="0"/>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png"/><Relationship Id="rId5" Type="http://schemas.openxmlformats.org/officeDocument/2006/relationships/image" Target="../media/image9.emf"/><Relationship Id="rId4" Type="http://schemas.openxmlformats.org/officeDocument/2006/relationships/image" Target="../media/image8.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12.png"/><Relationship Id="rId1" Type="http://schemas.openxmlformats.org/officeDocument/2006/relationships/image" Target="../media/image11.jpeg"/><Relationship Id="rId5" Type="http://schemas.openxmlformats.org/officeDocument/2006/relationships/image" Target="../media/image13.emf"/><Relationship Id="rId4" Type="http://schemas.openxmlformats.org/officeDocument/2006/relationships/image" Target="../media/image8.png"/></Relationships>
</file>

<file path=xl/drawings/_rels/drawing4.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8.png"/><Relationship Id="rId1" Type="http://schemas.openxmlformats.org/officeDocument/2006/relationships/image" Target="../media/image7.png"/><Relationship Id="rId5" Type="http://schemas.openxmlformats.org/officeDocument/2006/relationships/image" Target="../media/image13.emf"/><Relationship Id="rId4" Type="http://schemas.openxmlformats.org/officeDocument/2006/relationships/image" Target="../media/image16.png"/></Relationships>
</file>

<file path=xl/drawings/_rels/drawing5.xml.rels><?xml version="1.0" encoding="UTF-8" standalone="yes"?>
<Relationships xmlns="http://schemas.openxmlformats.org/package/2006/relationships"><Relationship Id="rId3" Type="http://schemas.openxmlformats.org/officeDocument/2006/relationships/image" Target="../media/image19.png"/><Relationship Id="rId2" Type="http://schemas.openxmlformats.org/officeDocument/2006/relationships/image" Target="../media/image18.png"/><Relationship Id="rId1" Type="http://schemas.openxmlformats.org/officeDocument/2006/relationships/image" Target="../media/image17.png"/><Relationship Id="rId4"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20.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19049</xdr:rowOff>
    </xdr:from>
    <xdr:to>
      <xdr:col>2</xdr:col>
      <xdr:colOff>166657</xdr:colOff>
      <xdr:row>4</xdr:row>
      <xdr:rowOff>281939</xdr:rowOff>
    </xdr:to>
    <xdr:pic>
      <xdr:nvPicPr>
        <xdr:cNvPr id="3" name="Grafik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0" y="600074"/>
          <a:ext cx="538132" cy="5010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17</xdr:col>
      <xdr:colOff>52696</xdr:colOff>
      <xdr:row>3</xdr:row>
      <xdr:rowOff>5023</xdr:rowOff>
    </xdr:from>
    <xdr:ext cx="595004" cy="556951"/>
    <xdr:pic>
      <xdr:nvPicPr>
        <xdr:cNvPr id="4" name="Grafik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bwMode="auto">
        <a:xfrm>
          <a:off x="10796896" y="586048"/>
          <a:ext cx="595004" cy="55695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mc:AlternateContent xmlns:mc="http://schemas.openxmlformats.org/markup-compatibility/2006">
    <mc:Choice xmlns:a14="http://schemas.microsoft.com/office/drawing/2010/main" Requires="a14">
      <xdr:twoCellAnchor editAs="oneCell">
        <xdr:from>
          <xdr:col>14</xdr:col>
          <xdr:colOff>57150</xdr:colOff>
          <xdr:row>0</xdr:row>
          <xdr:rowOff>152400</xdr:rowOff>
        </xdr:from>
        <xdr:to>
          <xdr:col>14</xdr:col>
          <xdr:colOff>981075</xdr:colOff>
          <xdr:row>1</xdr:row>
          <xdr:rowOff>209550</xdr:rowOff>
        </xdr:to>
        <xdr:sp macro="" textlink="">
          <xdr:nvSpPr>
            <xdr:cNvPr id="1030" name="Drop Dow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1055492</xdr:colOff>
          <xdr:row>1</xdr:row>
          <xdr:rowOff>76025</xdr:rowOff>
        </xdr:from>
        <xdr:to>
          <xdr:col>15</xdr:col>
          <xdr:colOff>19050</xdr:colOff>
          <xdr:row>2</xdr:row>
          <xdr:rowOff>139064</xdr:rowOff>
        </xdr:to>
        <xdr:pic>
          <xdr:nvPicPr>
            <xdr:cNvPr id="9" name="Grafik 8">
              <a:extLst>
                <a:ext uri="{FF2B5EF4-FFF2-40B4-BE49-F238E27FC236}">
                  <a16:creationId xmlns:a16="http://schemas.microsoft.com/office/drawing/2014/main" id="{00000000-0008-0000-0000-000009000000}"/>
                </a:ext>
              </a:extLst>
            </xdr:cNvPr>
            <xdr:cNvPicPr>
              <a:picLocks noChangeAspect="1" noChangeArrowheads="1"/>
              <a:extLst>
                <a:ext uri="{84589F7E-364E-4C9E-8A38-B11213B215E9}">
                  <a14:cameraTool cellRange="Bild_Flagge" spid="_x0000_s1095"/>
                </a:ext>
              </a:extLst>
            </xdr:cNvPicPr>
          </xdr:nvPicPr>
          <xdr:blipFill>
            <a:blip xmlns:r="http://schemas.openxmlformats.org/officeDocument/2006/relationships" r:embed="rId3"/>
            <a:srcRect/>
            <a:stretch>
              <a:fillRect/>
            </a:stretch>
          </xdr:blipFill>
          <xdr:spPr bwMode="auto">
            <a:xfrm>
              <a:off x="9980417" y="266525"/>
              <a:ext cx="649483" cy="386889"/>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13</xdr:col>
      <xdr:colOff>27937</xdr:colOff>
      <xdr:row>8</xdr:row>
      <xdr:rowOff>150019</xdr:rowOff>
    </xdr:from>
    <xdr:to>
      <xdr:col>15</xdr:col>
      <xdr:colOff>732</xdr:colOff>
      <xdr:row>18</xdr:row>
      <xdr:rowOff>135773</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8067037" y="1693069"/>
          <a:ext cx="2515970" cy="1780265"/>
        </a:xfrm>
        <a:prstGeom prst="rect">
          <a:avLst/>
        </a:prstGeom>
      </xdr:spPr>
    </xdr:pic>
    <xdr:clientData/>
  </xdr:twoCellAnchor>
  <xdr:twoCellAnchor editAs="oneCell">
    <xdr:from>
      <xdr:col>11</xdr:col>
      <xdr:colOff>23175</xdr:colOff>
      <xdr:row>7</xdr:row>
      <xdr:rowOff>152400</xdr:rowOff>
    </xdr:from>
    <xdr:to>
      <xdr:col>13</xdr:col>
      <xdr:colOff>20010</xdr:colOff>
      <xdr:row>19</xdr:row>
      <xdr:rowOff>1381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5471475" y="1485900"/>
          <a:ext cx="2522442" cy="2058780"/>
        </a:xfrm>
        <a:prstGeom prst="rect">
          <a:avLst/>
        </a:prstGeom>
      </xdr:spPr>
    </xdr:pic>
    <xdr:clientData/>
  </xdr:twoCellAnchor>
  <xdr:twoCellAnchor>
    <xdr:from>
      <xdr:col>12</xdr:col>
      <xdr:colOff>342900</xdr:colOff>
      <xdr:row>10</xdr:row>
      <xdr:rowOff>76200</xdr:rowOff>
    </xdr:from>
    <xdr:to>
      <xdr:col>12</xdr:col>
      <xdr:colOff>542925</xdr:colOff>
      <xdr:row>11</xdr:row>
      <xdr:rowOff>152400</xdr:rowOff>
    </xdr:to>
    <xdr:cxnSp macro="">
      <xdr:nvCxnSpPr>
        <xdr:cNvPr id="7" name="Gerade Verbindung mit Pfeil 6">
          <a:extLst>
            <a:ext uri="{FF2B5EF4-FFF2-40B4-BE49-F238E27FC236}">
              <a16:creationId xmlns:a16="http://schemas.microsoft.com/office/drawing/2014/main" id="{00000000-0008-0000-0100-000007000000}"/>
            </a:ext>
          </a:extLst>
        </xdr:cNvPr>
        <xdr:cNvCxnSpPr/>
      </xdr:nvCxnSpPr>
      <xdr:spPr>
        <a:xfrm flipH="1">
          <a:off x="6076950" y="2038350"/>
          <a:ext cx="200025" cy="28575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85725</xdr:colOff>
      <xdr:row>9</xdr:row>
      <xdr:rowOff>9525</xdr:rowOff>
    </xdr:from>
    <xdr:ext cx="994439" cy="264560"/>
    <xdr:sp macro="" textlink="">
      <xdr:nvSpPr>
        <xdr:cNvPr id="9" name="Textfeld 8">
          <a:extLst>
            <a:ext uri="{FF2B5EF4-FFF2-40B4-BE49-F238E27FC236}">
              <a16:creationId xmlns:a16="http://schemas.microsoft.com/office/drawing/2014/main" id="{00000000-0008-0000-0100-000009000000}"/>
            </a:ext>
          </a:extLst>
        </xdr:cNvPr>
        <xdr:cNvSpPr txBox="1"/>
      </xdr:nvSpPr>
      <xdr:spPr>
        <a:xfrm>
          <a:off x="5819775" y="1762125"/>
          <a:ext cx="994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Gewinde fehlt</a:t>
          </a:r>
        </a:p>
      </xdr:txBody>
    </xdr:sp>
    <xdr:clientData/>
  </xdr:oneCellAnchor>
  <xdr:twoCellAnchor>
    <xdr:from>
      <xdr:col>14</xdr:col>
      <xdr:colOff>419100</xdr:colOff>
      <xdr:row>10</xdr:row>
      <xdr:rowOff>47625</xdr:rowOff>
    </xdr:from>
    <xdr:to>
      <xdr:col>14</xdr:col>
      <xdr:colOff>619125</xdr:colOff>
      <xdr:row>11</xdr:row>
      <xdr:rowOff>123825</xdr:rowOff>
    </xdr:to>
    <xdr:cxnSp macro="">
      <xdr:nvCxnSpPr>
        <xdr:cNvPr id="10" name="Gerade Verbindung mit Pfeil 9">
          <a:extLst>
            <a:ext uri="{FF2B5EF4-FFF2-40B4-BE49-F238E27FC236}">
              <a16:creationId xmlns:a16="http://schemas.microsoft.com/office/drawing/2014/main" id="{00000000-0008-0000-0100-00000A000000}"/>
            </a:ext>
          </a:extLst>
        </xdr:cNvPr>
        <xdr:cNvCxnSpPr/>
      </xdr:nvCxnSpPr>
      <xdr:spPr>
        <a:xfrm flipH="1">
          <a:off x="9344025" y="2009775"/>
          <a:ext cx="200025" cy="285750"/>
        </a:xfrm>
        <a:prstGeom prst="straightConnector1">
          <a:avLst/>
        </a:prstGeom>
        <a:ln w="571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41012</xdr:colOff>
      <xdr:row>3</xdr:row>
      <xdr:rowOff>23812</xdr:rowOff>
    </xdr:from>
    <xdr:to>
      <xdr:col>2</xdr:col>
      <xdr:colOff>261946</xdr:colOff>
      <xdr:row>4</xdr:row>
      <xdr:rowOff>323030</xdr:rowOff>
    </xdr:to>
    <xdr:pic>
      <xdr:nvPicPr>
        <xdr:cNvPr id="16" name="Grafik 15">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xdr:blipFill>
      <xdr:spPr bwMode="auto">
        <a:xfrm>
          <a:off x="41012" y="605895"/>
          <a:ext cx="601934" cy="5426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65835</xdr:colOff>
      <xdr:row>3</xdr:row>
      <xdr:rowOff>23812</xdr:rowOff>
    </xdr:from>
    <xdr:to>
      <xdr:col>20</xdr:col>
      <xdr:colOff>188873</xdr:colOff>
      <xdr:row>4</xdr:row>
      <xdr:rowOff>323030</xdr:rowOff>
    </xdr:to>
    <xdr:pic>
      <xdr:nvPicPr>
        <xdr:cNvPr id="17" name="Grafik 16">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xdr:blipFill>
      <xdr:spPr bwMode="auto">
        <a:xfrm>
          <a:off x="10781460" y="607218"/>
          <a:ext cx="587382" cy="541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14</xdr:col>
          <xdr:colOff>28575</xdr:colOff>
          <xdr:row>0</xdr:row>
          <xdr:rowOff>171450</xdr:rowOff>
        </xdr:from>
        <xdr:to>
          <xdr:col>14</xdr:col>
          <xdr:colOff>800100</xdr:colOff>
          <xdr:row>1</xdr:row>
          <xdr:rowOff>171450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985631</xdr:colOff>
          <xdr:row>0</xdr:row>
          <xdr:rowOff>33131</xdr:rowOff>
        </xdr:from>
        <xdr:to>
          <xdr:col>14</xdr:col>
          <xdr:colOff>1618702</xdr:colOff>
          <xdr:row>1</xdr:row>
          <xdr:rowOff>258584</xdr:rowOff>
        </xdr:to>
        <xdr:pic>
          <xdr:nvPicPr>
            <xdr:cNvPr id="11" name="Grafik 10">
              <a:extLst>
                <a:ext uri="{FF2B5EF4-FFF2-40B4-BE49-F238E27FC236}">
                  <a16:creationId xmlns:a16="http://schemas.microsoft.com/office/drawing/2014/main" id="{00000000-0008-0000-0100-00000B000000}"/>
                </a:ext>
              </a:extLst>
            </xdr:cNvPr>
            <xdr:cNvPicPr>
              <a:picLocks noChangeAspect="1" noChangeArrowheads="1"/>
              <a:extLst>
                <a:ext uri="{84589F7E-364E-4C9E-8A38-B11213B215E9}">
                  <a14:cameraTool cellRange="Bild_Flagge" spid="_x0000_s2112"/>
                </a:ext>
              </a:extLst>
            </xdr:cNvPicPr>
          </xdr:nvPicPr>
          <xdr:blipFill>
            <a:blip xmlns:r="http://schemas.openxmlformats.org/officeDocument/2006/relationships" r:embed="rId5"/>
            <a:srcRect/>
            <a:stretch>
              <a:fillRect/>
            </a:stretch>
          </xdr:blipFill>
          <xdr:spPr bwMode="auto">
            <a:xfrm>
              <a:off x="9574696" y="33131"/>
              <a:ext cx="636881" cy="40957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11</xdr:col>
      <xdr:colOff>48725</xdr:colOff>
      <xdr:row>8</xdr:row>
      <xdr:rowOff>173833</xdr:rowOff>
    </xdr:from>
    <xdr:to>
      <xdr:col>13</xdr:col>
      <xdr:colOff>383</xdr:colOff>
      <xdr:row>17</xdr:row>
      <xdr:rowOff>78580</xdr:rowOff>
    </xdr:to>
    <xdr:pic>
      <xdr:nvPicPr>
        <xdr:cNvPr id="6" name="Grafik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5497025" y="1716883"/>
          <a:ext cx="2519175" cy="1485897"/>
        </a:xfrm>
        <a:prstGeom prst="rect">
          <a:avLst/>
        </a:prstGeom>
      </xdr:spPr>
    </xdr:pic>
    <xdr:clientData/>
  </xdr:twoCellAnchor>
  <xdr:twoCellAnchor editAs="oneCell">
    <xdr:from>
      <xdr:col>13</xdr:col>
      <xdr:colOff>29675</xdr:colOff>
      <xdr:row>8</xdr:row>
      <xdr:rowOff>183413</xdr:rowOff>
    </xdr:from>
    <xdr:to>
      <xdr:col>14</xdr:col>
      <xdr:colOff>1579205</xdr:colOff>
      <xdr:row>17</xdr:row>
      <xdr:rowOff>91859</xdr:rowOff>
    </xdr:to>
    <xdr:pic>
      <xdr:nvPicPr>
        <xdr:cNvPr id="8" name="Grafik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8042581" y="1743132"/>
          <a:ext cx="2514413" cy="1523886"/>
        </a:xfrm>
        <a:prstGeom prst="rect">
          <a:avLst/>
        </a:prstGeom>
      </xdr:spPr>
    </xdr:pic>
    <xdr:clientData/>
  </xdr:twoCellAnchor>
  <xdr:twoCellAnchor editAs="oneCell">
    <xdr:from>
      <xdr:col>0</xdr:col>
      <xdr:colOff>83344</xdr:colOff>
      <xdr:row>3</xdr:row>
      <xdr:rowOff>11907</xdr:rowOff>
    </xdr:from>
    <xdr:to>
      <xdr:col>3</xdr:col>
      <xdr:colOff>39695</xdr:colOff>
      <xdr:row>4</xdr:row>
      <xdr:rowOff>324460</xdr:rowOff>
    </xdr:to>
    <xdr:pic>
      <xdr:nvPicPr>
        <xdr:cNvPr id="13" name="Grafik 12">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xdr:blipFill>
      <xdr:spPr bwMode="auto">
        <a:xfrm>
          <a:off x="83344" y="595313"/>
          <a:ext cx="587382" cy="541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95251</xdr:colOff>
      <xdr:row>3</xdr:row>
      <xdr:rowOff>23813</xdr:rowOff>
    </xdr:from>
    <xdr:to>
      <xdr:col>20</xdr:col>
      <xdr:colOff>208764</xdr:colOff>
      <xdr:row>4</xdr:row>
      <xdr:rowOff>323031</xdr:rowOff>
    </xdr:to>
    <xdr:pic>
      <xdr:nvPicPr>
        <xdr:cNvPr id="14" name="Grafik 13">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xdr:blipFill>
      <xdr:spPr bwMode="auto">
        <a:xfrm>
          <a:off x="10810876" y="607219"/>
          <a:ext cx="587382" cy="541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14</xdr:col>
          <xdr:colOff>19050</xdr:colOff>
          <xdr:row>0</xdr:row>
          <xdr:rowOff>171450</xdr:rowOff>
        </xdr:from>
        <xdr:to>
          <xdr:col>14</xdr:col>
          <xdr:colOff>847725</xdr:colOff>
          <xdr:row>1</xdr:row>
          <xdr:rowOff>209550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911087</xdr:colOff>
          <xdr:row>0</xdr:row>
          <xdr:rowOff>82826</xdr:rowOff>
        </xdr:from>
        <xdr:to>
          <xdr:col>14</xdr:col>
          <xdr:colOff>1544158</xdr:colOff>
          <xdr:row>1</xdr:row>
          <xdr:rowOff>308279</xdr:rowOff>
        </xdr:to>
        <xdr:pic>
          <xdr:nvPicPr>
            <xdr:cNvPr id="7" name="Grafik 6">
              <a:extLst>
                <a:ext uri="{FF2B5EF4-FFF2-40B4-BE49-F238E27FC236}">
                  <a16:creationId xmlns:a16="http://schemas.microsoft.com/office/drawing/2014/main" id="{00000000-0008-0000-0200-000007000000}"/>
                </a:ext>
              </a:extLst>
            </xdr:cNvPr>
            <xdr:cNvPicPr>
              <a:picLocks noChangeAspect="1" noChangeArrowheads="1"/>
              <a:extLst>
                <a:ext uri="{84589F7E-364E-4C9E-8A38-B11213B215E9}">
                  <a14:cameraTool cellRange="Bild_Flagge" spid="_x0000_s3133"/>
                </a:ext>
              </a:extLst>
            </xdr:cNvPicPr>
          </xdr:nvPicPr>
          <xdr:blipFill>
            <a:blip xmlns:r="http://schemas.openxmlformats.org/officeDocument/2006/relationships" r:embed="rId5"/>
            <a:srcRect/>
            <a:stretch>
              <a:fillRect/>
            </a:stretch>
          </xdr:blipFill>
          <xdr:spPr bwMode="auto">
            <a:xfrm>
              <a:off x="9500152" y="82826"/>
              <a:ext cx="636881" cy="40767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59531</xdr:colOff>
      <xdr:row>3</xdr:row>
      <xdr:rowOff>23813</xdr:rowOff>
    </xdr:from>
    <xdr:to>
      <xdr:col>3</xdr:col>
      <xdr:colOff>19692</xdr:colOff>
      <xdr:row>4</xdr:row>
      <xdr:rowOff>323031</xdr:rowOff>
    </xdr:to>
    <xdr:pic>
      <xdr:nvPicPr>
        <xdr:cNvPr id="9" name="Grafik 8">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59531" y="607219"/>
          <a:ext cx="587382" cy="541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71438</xdr:colOff>
      <xdr:row>3</xdr:row>
      <xdr:rowOff>35719</xdr:rowOff>
    </xdr:from>
    <xdr:to>
      <xdr:col>20</xdr:col>
      <xdr:colOff>205906</xdr:colOff>
      <xdr:row>5</xdr:row>
      <xdr:rowOff>80</xdr:rowOff>
    </xdr:to>
    <xdr:pic>
      <xdr:nvPicPr>
        <xdr:cNvPr id="10" name="Grafik 9">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bwMode="auto">
        <a:xfrm>
          <a:off x="10787063" y="619125"/>
          <a:ext cx="587382" cy="5411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53</xdr:row>
      <xdr:rowOff>0</xdr:rowOff>
    </xdr:from>
    <xdr:to>
      <xdr:col>12</xdr:col>
      <xdr:colOff>304800</xdr:colOff>
      <xdr:row>54</xdr:row>
      <xdr:rowOff>129540</xdr:rowOff>
    </xdr:to>
    <xdr:sp macro="" textlink="">
      <xdr:nvSpPr>
        <xdr:cNvPr id="7169" name="x_0-weu-d6-334ed60abad9d829a4b58039f430da20" descr="Bild">
          <a:extLst>
            <a:ext uri="{FF2B5EF4-FFF2-40B4-BE49-F238E27FC236}">
              <a16:creationId xmlns:a16="http://schemas.microsoft.com/office/drawing/2014/main" id="{00000000-0008-0000-0300-0000011C0000}"/>
            </a:ext>
          </a:extLst>
        </xdr:cNvPr>
        <xdr:cNvSpPr>
          <a:spLocks noChangeAspect="1" noChangeArrowheads="1"/>
        </xdr:cNvSpPr>
      </xdr:nvSpPr>
      <xdr:spPr bwMode="auto">
        <a:xfrm>
          <a:off x="5486400" y="173964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136377</xdr:colOff>
      <xdr:row>6</xdr:row>
      <xdr:rowOff>192405</xdr:rowOff>
    </xdr:from>
    <xdr:to>
      <xdr:col>12</xdr:col>
      <xdr:colOff>2116231</xdr:colOff>
      <xdr:row>20</xdr:row>
      <xdr:rowOff>20348</xdr:rowOff>
    </xdr:to>
    <xdr:pic>
      <xdr:nvPicPr>
        <xdr:cNvPr id="3" name="Grafik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19886" t="-873" r="14032" b="4025"/>
        <a:stretch/>
      </xdr:blipFill>
      <xdr:spPr>
        <a:xfrm>
          <a:off x="5380730" y="1391434"/>
          <a:ext cx="2252381" cy="2487323"/>
        </a:xfrm>
        <a:prstGeom prst="rect">
          <a:avLst/>
        </a:prstGeom>
      </xdr:spPr>
    </xdr:pic>
    <xdr:clientData/>
  </xdr:twoCellAnchor>
  <xdr:twoCellAnchor editAs="oneCell">
    <xdr:from>
      <xdr:col>13</xdr:col>
      <xdr:colOff>321162</xdr:colOff>
      <xdr:row>7</xdr:row>
      <xdr:rowOff>31713</xdr:rowOff>
    </xdr:from>
    <xdr:to>
      <xdr:col>14</xdr:col>
      <xdr:colOff>1350421</xdr:colOff>
      <xdr:row>20</xdr:row>
      <xdr:rowOff>16349</xdr:rowOff>
    </xdr:to>
    <xdr:pic>
      <xdr:nvPicPr>
        <xdr:cNvPr id="5" name="Grafik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064427" y="1443654"/>
          <a:ext cx="1886397" cy="243872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14</xdr:col>
          <xdr:colOff>28575</xdr:colOff>
          <xdr:row>1</xdr:row>
          <xdr:rowOff>0</xdr:rowOff>
        </xdr:from>
        <xdr:to>
          <xdr:col>14</xdr:col>
          <xdr:colOff>895350</xdr:colOff>
          <xdr:row>1</xdr:row>
          <xdr:rowOff>228600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1109870</xdr:colOff>
          <xdr:row>0</xdr:row>
          <xdr:rowOff>142709</xdr:rowOff>
        </xdr:from>
        <xdr:to>
          <xdr:col>15</xdr:col>
          <xdr:colOff>55194</xdr:colOff>
          <xdr:row>2</xdr:row>
          <xdr:rowOff>34364</xdr:rowOff>
        </xdr:to>
        <xdr:pic>
          <xdr:nvPicPr>
            <xdr:cNvPr id="8" name="Grafik 7">
              <a:extLst>
                <a:ext uri="{FF2B5EF4-FFF2-40B4-BE49-F238E27FC236}">
                  <a16:creationId xmlns:a16="http://schemas.microsoft.com/office/drawing/2014/main" id="{00000000-0008-0000-0300-000008000000}"/>
                </a:ext>
              </a:extLst>
            </xdr:cNvPr>
            <xdr:cNvPicPr>
              <a:picLocks noChangeAspect="1" noChangeArrowheads="1"/>
              <a:extLst>
                <a:ext uri="{84589F7E-364E-4C9E-8A38-B11213B215E9}">
                  <a14:cameraTool cellRange="Bild_Flagge" spid="_x0000_s4159"/>
                </a:ext>
              </a:extLst>
            </xdr:cNvPicPr>
          </xdr:nvPicPr>
          <xdr:blipFill>
            <a:blip xmlns:r="http://schemas.openxmlformats.org/officeDocument/2006/relationships" r:embed="rId5"/>
            <a:srcRect/>
            <a:stretch>
              <a:fillRect/>
            </a:stretch>
          </xdr:blipFill>
          <xdr:spPr bwMode="auto">
            <a:xfrm>
              <a:off x="10046805" y="142709"/>
              <a:ext cx="638786" cy="40576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7</xdr:col>
      <xdr:colOff>92067</xdr:colOff>
      <xdr:row>2</xdr:row>
      <xdr:rowOff>238440</xdr:rowOff>
    </xdr:from>
    <xdr:to>
      <xdr:col>7</xdr:col>
      <xdr:colOff>650702</xdr:colOff>
      <xdr:row>2</xdr:row>
      <xdr:rowOff>587375</xdr:rowOff>
    </xdr:to>
    <xdr:pic>
      <xdr:nvPicPr>
        <xdr:cNvPr id="3" name="Grafik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436130" y="1087753"/>
          <a:ext cx="558635" cy="348935"/>
        </a:xfrm>
        <a:prstGeom prst="rect">
          <a:avLst/>
        </a:prstGeom>
      </xdr:spPr>
    </xdr:pic>
    <xdr:clientData/>
  </xdr:twoCellAnchor>
  <xdr:twoCellAnchor editAs="oneCell">
    <xdr:from>
      <xdr:col>7</xdr:col>
      <xdr:colOff>74683</xdr:colOff>
      <xdr:row>0</xdr:row>
      <xdr:rowOff>101015</xdr:rowOff>
    </xdr:from>
    <xdr:to>
      <xdr:col>7</xdr:col>
      <xdr:colOff>718000</xdr:colOff>
      <xdr:row>0</xdr:row>
      <xdr:rowOff>444639</xdr:rowOff>
    </xdr:to>
    <xdr:pic>
      <xdr:nvPicPr>
        <xdr:cNvPr id="5" name="Grafik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12488" y="101015"/>
          <a:ext cx="643317" cy="343624"/>
        </a:xfrm>
        <a:prstGeom prst="rect">
          <a:avLst/>
        </a:prstGeom>
      </xdr:spPr>
    </xdr:pic>
    <xdr:clientData/>
  </xdr:twoCellAnchor>
  <xdr:twoCellAnchor editAs="oneCell">
    <xdr:from>
      <xdr:col>7</xdr:col>
      <xdr:colOff>126964</xdr:colOff>
      <xdr:row>1</xdr:row>
      <xdr:rowOff>10141</xdr:rowOff>
    </xdr:from>
    <xdr:to>
      <xdr:col>7</xdr:col>
      <xdr:colOff>686213</xdr:colOff>
      <xdr:row>2</xdr:row>
      <xdr:rowOff>31750</xdr:rowOff>
    </xdr:to>
    <xdr:pic>
      <xdr:nvPicPr>
        <xdr:cNvPr id="7" name="Grafik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471027" y="534016"/>
          <a:ext cx="559249" cy="34704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5535</xdr:colOff>
          <xdr:row>2</xdr:row>
          <xdr:rowOff>182562</xdr:rowOff>
        </xdr:from>
        <xdr:to>
          <xdr:col>9</xdr:col>
          <xdr:colOff>69208</xdr:colOff>
          <xdr:row>2</xdr:row>
          <xdr:rowOff>635000</xdr:rowOff>
        </xdr:to>
        <xdr:pic>
          <xdr:nvPicPr>
            <xdr:cNvPr id="10" name="Grafik 9">
              <a:extLst>
                <a:ext uri="{FF2B5EF4-FFF2-40B4-BE49-F238E27FC236}">
                  <a16:creationId xmlns:a16="http://schemas.microsoft.com/office/drawing/2014/main" id="{00000000-0008-0000-0400-00000A000000}"/>
                </a:ext>
              </a:extLst>
            </xdr:cNvPr>
            <xdr:cNvPicPr>
              <a:picLocks noChangeAspect="1" noChangeArrowheads="1"/>
              <a:extLst>
                <a:ext uri="{84589F7E-364E-4C9E-8A38-B11213B215E9}">
                  <a14:cameraTool cellRange="Bild_Flagge" spid="_x0000_s5183"/>
                </a:ext>
              </a:extLst>
            </xdr:cNvPicPr>
          </xdr:nvPicPr>
          <xdr:blipFill>
            <a:blip xmlns:r="http://schemas.openxmlformats.org/officeDocument/2006/relationships" r:embed="rId4"/>
            <a:srcRect/>
            <a:stretch>
              <a:fillRect/>
            </a:stretch>
          </xdr:blipFill>
          <xdr:spPr bwMode="auto">
            <a:xfrm>
              <a:off x="23111598" y="1031875"/>
              <a:ext cx="825673" cy="452438"/>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1</xdr:col>
      <xdr:colOff>36634</xdr:colOff>
      <xdr:row>2</xdr:row>
      <xdr:rowOff>87924</xdr:rowOff>
    </xdr:from>
    <xdr:ext cx="726281" cy="667300"/>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8634" y="411774"/>
          <a:ext cx="726281" cy="667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uhgroup-my.sharepoint.com/personal/julia_ruchatz_wuh-group_com/Documents/Microsoft%20Teams-Chatdateien/WH_8D_Template%20V24_D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009\3-2009\klink-3-2009-2\prozesse\05_8-D\05.16_Methoden\Qualit&#228;tsmessung\AE_8D_Bewertung_Toyota-Checkliste\2008\8D_Quality_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009\3-2009\klink-3-2009-2\daten\users\DE_jap4rt\explorer_cache\drop_dow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8D Report"/>
      <sheetName val="D2-Ist, Ist-Nicht"/>
      <sheetName val="Texte"/>
      <sheetName val="D3-Checkliste Sofortmaßnahmen"/>
      <sheetName val="D4-Priorisierung"/>
      <sheetName val="#D4-Ishikawa_5xW_Auftreten"/>
      <sheetName val="#D4-Ishikawa_5xW_Entdecken"/>
      <sheetName val="#D7-FMEA"/>
      <sheetName val="Bewertungskatalog P-FMEA"/>
      <sheetName val="#D7-NWD"/>
      <sheetName val="#Self-Assesment"/>
      <sheetName val="OPL"/>
      <sheetName val="Ist - Ist Nicht Verlauf"/>
      <sheetName val="Grafik Ist - Ist Nicht Verlauf"/>
      <sheetName val="Checklist (de)"/>
      <sheetName val="Histo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Report"/>
      <sheetName val="Report_DNF"/>
      <sheetName val="Report_Details"/>
      <sheetName val="Detail_P98"/>
      <sheetName val="Report_P72"/>
      <sheetName val="Detail_P72"/>
      <sheetName val="P98_P72"/>
      <sheetName val="Pivot_Plant"/>
      <sheetName val="Pivot_PT"/>
      <sheetName val="8D Quality"/>
      <sheetName val="8D_Q_Entw"/>
      <sheetName val="Pivot_8D_Quality_Entw"/>
      <sheetName val="8D_Q_Plant"/>
      <sheetName val="Pivot_Plant_8D_Q"/>
      <sheetName val="Schwerpunkte"/>
      <sheetName val="Daten_Diagramm"/>
      <sheetName val="Daten_Q8"/>
      <sheetName val="Daten_DNF"/>
      <sheetName val="Daten_Bewertung"/>
      <sheetName val="Anzahl_QC"/>
      <sheetName val="Selektion_Daten_Q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Label</v>
          </cell>
        </row>
        <row r="2">
          <cell r="A2" t="str">
            <v>bent pin, CRC</v>
          </cell>
        </row>
        <row r="3">
          <cell r="A3" t="str">
            <v>EEPROM</v>
          </cell>
        </row>
        <row r="4">
          <cell r="A4" t="str">
            <v>Damaged BE</v>
          </cell>
        </row>
        <row r="5">
          <cell r="A5" t="str">
            <v>Placement pcb</v>
          </cell>
        </row>
        <row r="6">
          <cell r="A6" t="str">
            <v>placement hy</v>
          </cell>
        </row>
        <row r="7">
          <cell r="A7" t="str">
            <v>Delamination pcb</v>
          </cell>
        </row>
        <row r="8">
          <cell r="A8" t="str">
            <v>Delamination hy</v>
          </cell>
        </row>
        <row r="9">
          <cell r="A9" t="str">
            <v>Contami. Particles</v>
          </cell>
        </row>
        <row r="10">
          <cell r="A10" t="str">
            <v>Contami. Liquids</v>
          </cell>
        </row>
      </sheetData>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2"/>
      <sheetName val="Tabelle1"/>
    </sheetNames>
    <sheetDataSet>
      <sheetData sheetId="0"/>
      <sheetData sheetId="1">
        <row r="1">
          <cell r="D1">
            <v>1</v>
          </cell>
        </row>
        <row r="2">
          <cell r="D2">
            <v>2</v>
          </cell>
        </row>
        <row r="3">
          <cell r="D3">
            <v>3</v>
          </cell>
        </row>
        <row r="4">
          <cell r="D4">
            <v>4</v>
          </cell>
        </row>
        <row r="5">
          <cell r="D5">
            <v>5</v>
          </cell>
        </row>
        <row r="6">
          <cell r="D6">
            <v>6</v>
          </cell>
        </row>
        <row r="7">
          <cell r="D7">
            <v>7</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ax.Mustermann@musterbau.com" TargetMode="External"/><Relationship Id="rId5" Type="http://schemas.openxmlformats.org/officeDocument/2006/relationships/ctrlProp" Target="../ctrlProps/ctrlProp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qualit&#228;t@e-s.de" TargetMode="External"/><Relationship Id="rId5" Type="http://schemas.openxmlformats.org/officeDocument/2006/relationships/ctrlProp" Target="../ctrlProps/ctrlProp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qualitaet@ls.de" TargetMode="External"/><Relationship Id="rId5" Type="http://schemas.openxmlformats.org/officeDocument/2006/relationships/ctrlProp" Target="../ctrlProps/ctrlProp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0516E-B371-4F8C-A563-0AF21737AEE9}">
  <sheetPr codeName="Tabelle1">
    <tabColor rgb="FF0070C0"/>
  </sheetPr>
  <dimension ref="A1:AG53"/>
  <sheetViews>
    <sheetView tabSelected="1" view="pageLayout" zoomScaleNormal="100" workbookViewId="0">
      <selection activeCell="U43" sqref="U43"/>
    </sheetView>
  </sheetViews>
  <sheetFormatPr baseColWidth="10" defaultColWidth="0" defaultRowHeight="15" x14ac:dyDescent="0.25"/>
  <cols>
    <col min="1" max="1" width="4.5703125" style="1" customWidth="1"/>
    <col min="2" max="2" width="0.7109375" style="1" customWidth="1"/>
    <col min="3" max="3" width="3.7109375" style="1" customWidth="1"/>
    <col min="4" max="5" width="11.85546875" style="1" customWidth="1"/>
    <col min="6" max="6" width="9.7109375" style="1" customWidth="1"/>
    <col min="7" max="7" width="3" style="1" customWidth="1"/>
    <col min="8" max="8" width="8.5703125" style="1" customWidth="1"/>
    <col min="9" max="9" width="9.7109375" style="1" customWidth="1"/>
    <col min="10" max="10" width="11.42578125" style="1" customWidth="1"/>
    <col min="11" max="11" width="1" style="1" customWidth="1"/>
    <col min="12" max="12" width="4" style="1" customWidth="1"/>
    <col min="13" max="13" width="32.28515625" style="1" customWidth="1"/>
    <col min="14" max="14" width="12.42578125" style="1" customWidth="1"/>
    <col min="15" max="15" width="23.5703125" style="1" customWidth="1"/>
    <col min="16" max="16" width="1.28515625" style="1" customWidth="1"/>
    <col min="17" max="17" width="0.5703125" style="1" customWidth="1"/>
    <col min="18" max="18" width="2.5703125" style="1" customWidth="1"/>
    <col min="19" max="19" width="0.7109375" style="1" customWidth="1"/>
    <col min="20" max="20" width="3.28515625" style="1" customWidth="1"/>
    <col min="21" max="22" width="11.7109375" style="1" customWidth="1"/>
    <col min="23" max="23" width="9.5703125" style="1" customWidth="1"/>
    <col min="24" max="24" width="1.7109375" style="1" customWidth="1"/>
    <col min="25" max="25" width="8.5703125" style="1" customWidth="1"/>
    <col min="26" max="26" width="9.7109375" style="1" customWidth="1"/>
    <col min="27" max="27" width="11.42578125" style="1" customWidth="1"/>
    <col min="28" max="28" width="0.5703125" style="1" customWidth="1"/>
    <col min="29" max="29" width="4.28515625" style="1" customWidth="1"/>
    <col min="30" max="30" width="28.5703125" style="1" customWidth="1"/>
    <col min="31" max="31" width="14.85546875" style="1" customWidth="1"/>
    <col min="32" max="32" width="18.42578125" style="1" customWidth="1"/>
    <col min="33" max="33" width="0.7109375" style="1" customWidth="1"/>
    <col min="34" max="34" width="0.28515625" style="1" customWidth="1"/>
    <col min="35" max="16381" width="0" style="1" hidden="1"/>
    <col min="16382" max="16384" width="0.5703125" style="1" customWidth="1"/>
  </cols>
  <sheetData>
    <row r="1" spans="1:33" s="2" customFormat="1" x14ac:dyDescent="0.25"/>
    <row r="2" spans="1:33" ht="25.5" customHeight="1" x14ac:dyDescent="0.25">
      <c r="A2" s="250"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B2" s="250"/>
      <c r="C2" s="250"/>
      <c r="D2" s="250"/>
      <c r="E2" s="250"/>
      <c r="F2" s="250"/>
      <c r="G2" s="250"/>
      <c r="H2" s="250"/>
      <c r="I2" s="250"/>
      <c r="J2" s="250"/>
      <c r="K2" s="250"/>
      <c r="L2" s="250"/>
      <c r="M2" s="252" t="str">
        <f>VLOOKUP(98,Language!C3:AI200,Language!$B$2+1,FALSE)</f>
        <v>Sprache/ Language/ Jazyk:</v>
      </c>
      <c r="N2" s="252"/>
      <c r="O2" s="2"/>
      <c r="P2" s="125"/>
      <c r="R2" s="162"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S2" s="163"/>
      <c r="T2" s="163"/>
      <c r="U2" s="163"/>
      <c r="V2" s="163"/>
      <c r="W2" s="163"/>
      <c r="X2" s="163"/>
      <c r="Y2" s="163"/>
      <c r="Z2" s="163"/>
      <c r="AA2" s="163"/>
      <c r="AB2" s="163"/>
      <c r="AC2" s="163"/>
      <c r="AD2" s="163"/>
      <c r="AE2" s="253"/>
      <c r="AF2" s="254"/>
      <c r="AG2" s="255"/>
    </row>
    <row r="3" spans="1:33" ht="32.25" customHeight="1" thickBot="1" x14ac:dyDescent="0.3">
      <c r="A3" s="251"/>
      <c r="B3" s="251"/>
      <c r="C3" s="251"/>
      <c r="D3" s="251"/>
      <c r="E3" s="251"/>
      <c r="F3" s="251"/>
      <c r="G3" s="251"/>
      <c r="H3" s="251"/>
      <c r="I3" s="251"/>
      <c r="J3" s="251"/>
      <c r="K3" s="251"/>
      <c r="L3" s="251"/>
      <c r="M3" s="126"/>
      <c r="N3" s="125"/>
      <c r="O3" s="125"/>
      <c r="P3" s="125"/>
      <c r="R3" s="164"/>
      <c r="S3" s="165"/>
      <c r="T3" s="165"/>
      <c r="U3" s="165"/>
      <c r="V3" s="165"/>
      <c r="W3" s="165"/>
      <c r="X3" s="165"/>
      <c r="Y3" s="165"/>
      <c r="Z3" s="165"/>
      <c r="AA3" s="165"/>
      <c r="AB3" s="165"/>
      <c r="AC3" s="165"/>
      <c r="AD3" s="165"/>
      <c r="AE3" s="256"/>
      <c r="AF3" s="257"/>
      <c r="AG3" s="258"/>
    </row>
    <row r="4" spans="1:33" ht="18.75" customHeight="1" x14ac:dyDescent="0.25">
      <c r="A4" s="166" t="str">
        <f>VLOOKUP(2,Language!C3:AI68,Language!$B$2+1,FALSE)</f>
        <v xml:space="preserve"> Lieferanten WH-A4 Problemlösungsformular</v>
      </c>
      <c r="B4" s="167"/>
      <c r="C4" s="168"/>
      <c r="D4" s="168"/>
      <c r="E4" s="168"/>
      <c r="F4" s="168"/>
      <c r="G4" s="168"/>
      <c r="H4" s="168"/>
      <c r="I4" s="168"/>
      <c r="J4" s="169"/>
      <c r="K4" s="7"/>
      <c r="L4" s="173" t="str">
        <f>VLOOKUP(3,Language!C3:AI68,Language!$B$2+1,FALSE)</f>
        <v>Mängelbericht Nr.</v>
      </c>
      <c r="M4" s="173"/>
      <c r="N4" s="173"/>
      <c r="O4" s="174"/>
      <c r="P4" s="8"/>
      <c r="R4" s="261" t="str">
        <f>VLOOKUP(2,Language!C3:AI68,Language!$B$2+1,FALSE)</f>
        <v xml:space="preserve"> Lieferanten WH-A4 Problemlösungsformular</v>
      </c>
      <c r="S4" s="262"/>
      <c r="T4" s="262"/>
      <c r="U4" s="262"/>
      <c r="V4" s="262"/>
      <c r="W4" s="262"/>
      <c r="X4" s="262"/>
      <c r="Y4" s="262"/>
      <c r="Z4" s="262"/>
      <c r="AA4" s="263"/>
      <c r="AB4" s="58"/>
      <c r="AC4" s="267" t="str">
        <f>VLOOKUP(3,Language!C3:AI68,Language!$B$2+1,FALSE)</f>
        <v>Mängelbericht Nr.</v>
      </c>
      <c r="AD4" s="267"/>
      <c r="AE4" s="268"/>
      <c r="AF4" s="268"/>
      <c r="AG4" s="66"/>
    </row>
    <row r="5" spans="1:33" ht="27" customHeight="1" thickBot="1" x14ac:dyDescent="0.3">
      <c r="A5" s="170"/>
      <c r="B5" s="171"/>
      <c r="C5" s="171"/>
      <c r="D5" s="171"/>
      <c r="E5" s="171"/>
      <c r="F5" s="171"/>
      <c r="G5" s="171"/>
      <c r="H5" s="171"/>
      <c r="I5" s="171"/>
      <c r="J5" s="172"/>
      <c r="K5" s="10"/>
      <c r="L5" s="175"/>
      <c r="M5" s="175"/>
      <c r="N5" s="175"/>
      <c r="O5" s="176"/>
      <c r="P5" s="9"/>
      <c r="R5" s="264"/>
      <c r="S5" s="265"/>
      <c r="T5" s="265"/>
      <c r="U5" s="265"/>
      <c r="V5" s="265"/>
      <c r="W5" s="265"/>
      <c r="X5" s="265"/>
      <c r="Y5" s="265"/>
      <c r="Z5" s="265"/>
      <c r="AA5" s="266"/>
      <c r="AB5" s="60"/>
      <c r="AC5" s="269" t="str">
        <f>VLOOKUP(31,Language!C3:AI68,Language!$B$2+1,FALSE)</f>
        <v>Hier Mängelberichtsnummer aus dem W&amp;H Mängelbericht eintragen.</v>
      </c>
      <c r="AD5" s="270"/>
      <c r="AE5" s="270"/>
      <c r="AF5" s="271"/>
      <c r="AG5" s="61"/>
    </row>
    <row r="6" spans="1:33" ht="5.25" customHeight="1" x14ac:dyDescent="0.25">
      <c r="A6" s="179" t="str">
        <f>VLOOKUP(23,Language!C3:AI68,Language!$B$2+1,FALSE)</f>
        <v>Lieferant</v>
      </c>
      <c r="B6" s="7"/>
      <c r="C6" s="7"/>
      <c r="D6" s="7"/>
      <c r="E6" s="7"/>
      <c r="F6" s="7"/>
      <c r="G6" s="7"/>
      <c r="H6" s="7"/>
      <c r="I6" s="7"/>
      <c r="J6" s="7"/>
      <c r="K6" s="7"/>
      <c r="L6" s="11"/>
      <c r="M6" s="11"/>
      <c r="N6" s="11"/>
      <c r="O6" s="7"/>
      <c r="P6" s="12"/>
      <c r="R6" s="272" t="str">
        <f>VLOOKUP(23,Language!C3:AI68,Language!$B$2+1,FALSE)</f>
        <v>Lieferant</v>
      </c>
      <c r="S6" s="58"/>
      <c r="T6" s="58"/>
      <c r="U6" s="58"/>
      <c r="V6" s="58"/>
      <c r="W6" s="58"/>
      <c r="X6" s="58"/>
      <c r="Y6" s="58"/>
      <c r="Z6" s="58"/>
      <c r="AA6" s="58"/>
      <c r="AB6" s="58"/>
      <c r="AC6" s="62"/>
      <c r="AD6" s="62"/>
      <c r="AE6" s="62"/>
      <c r="AF6" s="58"/>
      <c r="AG6" s="63"/>
    </row>
    <row r="7" spans="1:33" ht="16.5" customHeight="1" x14ac:dyDescent="0.25">
      <c r="A7" s="180"/>
      <c r="B7" s="13"/>
      <c r="C7" s="181" t="str">
        <f>VLOOKUP(4,Language!C3:AI68,Language!$B$2+1,FALSE)</f>
        <v>Firmenname</v>
      </c>
      <c r="D7" s="181"/>
      <c r="E7" s="181"/>
      <c r="F7" s="181"/>
      <c r="G7" s="132"/>
      <c r="H7" s="178" t="str">
        <f>VLOOKUP(5,Language!C3:AI68,Language!$B$2+1,FALSE)</f>
        <v>Datum</v>
      </c>
      <c r="I7" s="178"/>
      <c r="J7" s="178"/>
      <c r="K7" s="3"/>
      <c r="L7" s="183" t="str">
        <f>VLOOKUP(11,Language!C3:AI68,Language!$B$2+1,FALSE)</f>
        <v>IST (Foto)</v>
      </c>
      <c r="M7" s="184"/>
      <c r="N7" s="183" t="str">
        <f>VLOOKUP(12,Language!C3:AI68,Language!$B$2+1,FALSE)</f>
        <v>SOLL (Foto)</v>
      </c>
      <c r="O7" s="184"/>
      <c r="P7" s="14"/>
      <c r="R7" s="273"/>
      <c r="S7" s="274" t="str">
        <f>VLOOKUP(32,Language!C3:AI68,Language!$B$2+1,FALSE)</f>
        <v>Kopfdaten WH-A4 Formular:
Alle weißen Felder müssen vollständig ausgefüllt werden.
Im nebenstehenden linken Feld ist ein Foto von der Ist-Situation (Bauteil mit Problem) einzutragen.
Im nebenstehenden rechten Feld ist ein Foto von der Soll-Situation (Bauteil ohne Problem) einzutragen.
Es reicht aus, wenn nur der vom Problem betroffene Bereich fotografiert wird.</v>
      </c>
      <c r="T7" s="275"/>
      <c r="U7" s="275"/>
      <c r="V7" s="275"/>
      <c r="W7" s="275"/>
      <c r="X7" s="275"/>
      <c r="Y7" s="275"/>
      <c r="Z7" s="275"/>
      <c r="AA7" s="275"/>
      <c r="AB7" s="275"/>
      <c r="AC7" s="214" t="str">
        <f>VLOOKUP(11,Language!C3:AI68,Language!$B$2+1,FALSE)</f>
        <v>IST (Foto)</v>
      </c>
      <c r="AD7" s="215"/>
      <c r="AE7" s="214" t="str">
        <f>VLOOKUP(12,Language!C3:AI68,Language!$B$2+1,FALSE)</f>
        <v>SOLL (Foto)</v>
      </c>
      <c r="AF7" s="215"/>
      <c r="AG7" s="64"/>
    </row>
    <row r="8" spans="1:33" s="2" customFormat="1" ht="16.5" customHeight="1" x14ac:dyDescent="0.25">
      <c r="A8" s="180"/>
      <c r="B8" s="15"/>
      <c r="C8" s="194"/>
      <c r="D8" s="194"/>
      <c r="E8" s="194"/>
      <c r="F8" s="194"/>
      <c r="G8" s="108"/>
      <c r="H8" s="217"/>
      <c r="I8" s="182"/>
      <c r="J8" s="182"/>
      <c r="K8" s="3"/>
      <c r="L8" s="186" t="str">
        <f>VLOOKUP(99,Language!C3:AI200,Language!$B$2+1,FALSE)</f>
        <v>Foto</v>
      </c>
      <c r="M8" s="187"/>
      <c r="N8" s="189" t="str">
        <f>VLOOKUP(99,Language!C3:AI200,Language!$B$2+1,FALSE)</f>
        <v>Foto</v>
      </c>
      <c r="O8" s="190"/>
      <c r="P8" s="16"/>
      <c r="R8" s="273"/>
      <c r="S8" s="274"/>
      <c r="T8" s="275"/>
      <c r="U8" s="275"/>
      <c r="V8" s="275"/>
      <c r="W8" s="275"/>
      <c r="X8" s="275"/>
      <c r="Y8" s="275"/>
      <c r="Z8" s="275"/>
      <c r="AA8" s="275"/>
      <c r="AB8" s="276"/>
      <c r="AC8" s="235"/>
      <c r="AD8" s="236"/>
      <c r="AE8" s="237"/>
      <c r="AF8" s="236"/>
      <c r="AG8" s="66"/>
    </row>
    <row r="9" spans="1:33" ht="16.5" customHeight="1" x14ac:dyDescent="0.25">
      <c r="A9" s="180"/>
      <c r="B9" s="15"/>
      <c r="C9" s="177" t="str">
        <f>VLOOKUP(6,Language!C3:AI68,Language!$B$2+1,FALSE)</f>
        <v>Materialbezeichnung</v>
      </c>
      <c r="D9" s="177"/>
      <c r="E9" s="177"/>
      <c r="F9" s="177"/>
      <c r="G9" s="133"/>
      <c r="H9" s="219" t="str">
        <f>VLOOKUP(7,Language!C3:AI68,Language!$B$2+1,FALSE)</f>
        <v>W&amp;H Materialnummer</v>
      </c>
      <c r="I9" s="178"/>
      <c r="J9" s="178"/>
      <c r="K9" s="17"/>
      <c r="L9" s="187"/>
      <c r="M9" s="187"/>
      <c r="N9" s="190"/>
      <c r="O9" s="190"/>
      <c r="P9" s="16"/>
      <c r="R9" s="273"/>
      <c r="S9" s="274"/>
      <c r="T9" s="275"/>
      <c r="U9" s="275"/>
      <c r="V9" s="275"/>
      <c r="W9" s="275"/>
      <c r="X9" s="275"/>
      <c r="Y9" s="275"/>
      <c r="Z9" s="275"/>
      <c r="AA9" s="275"/>
      <c r="AB9" s="276"/>
      <c r="AC9" s="236"/>
      <c r="AD9" s="236"/>
      <c r="AE9" s="236"/>
      <c r="AF9" s="236"/>
      <c r="AG9" s="66"/>
    </row>
    <row r="10" spans="1:33" ht="16.5" customHeight="1" x14ac:dyDescent="0.25">
      <c r="A10" s="180"/>
      <c r="B10" s="15"/>
      <c r="C10" s="182"/>
      <c r="D10" s="182"/>
      <c r="E10" s="182"/>
      <c r="F10" s="182"/>
      <c r="G10" s="108"/>
      <c r="H10" s="220"/>
      <c r="I10" s="182"/>
      <c r="J10" s="182"/>
      <c r="K10" s="18"/>
      <c r="L10" s="187"/>
      <c r="M10" s="187"/>
      <c r="N10" s="190"/>
      <c r="O10" s="190"/>
      <c r="P10" s="16"/>
      <c r="R10" s="273"/>
      <c r="S10" s="274"/>
      <c r="T10" s="275"/>
      <c r="U10" s="275"/>
      <c r="V10" s="275"/>
      <c r="W10" s="275"/>
      <c r="X10" s="275"/>
      <c r="Y10" s="275"/>
      <c r="Z10" s="275"/>
      <c r="AA10" s="275"/>
      <c r="AB10" s="276"/>
      <c r="AC10" s="236"/>
      <c r="AD10" s="236"/>
      <c r="AE10" s="236"/>
      <c r="AF10" s="236"/>
      <c r="AG10" s="66"/>
    </row>
    <row r="11" spans="1:33" s="2" customFormat="1" ht="16.5" customHeight="1" x14ac:dyDescent="0.25">
      <c r="A11" s="180"/>
      <c r="B11" s="15"/>
      <c r="C11" s="177" t="str">
        <f>VLOOKUP(8,Language!C3:AI68,Language!$B$2+1,FALSE)</f>
        <v>gelieferte Menge</v>
      </c>
      <c r="D11" s="177"/>
      <c r="E11" s="177"/>
      <c r="F11" s="177"/>
      <c r="G11" s="132"/>
      <c r="H11" s="178" t="str">
        <f>VLOOKUP(9,Language!C3:AI68,Language!$B$2+1,FALSE)</f>
        <v>reklamierte Menge</v>
      </c>
      <c r="I11" s="178"/>
      <c r="J11" s="178"/>
      <c r="K11" s="3"/>
      <c r="L11" s="187"/>
      <c r="M11" s="187"/>
      <c r="N11" s="190"/>
      <c r="O11" s="190"/>
      <c r="P11" s="16"/>
      <c r="R11" s="273"/>
      <c r="S11" s="274"/>
      <c r="T11" s="275"/>
      <c r="U11" s="275"/>
      <c r="V11" s="275"/>
      <c r="W11" s="275"/>
      <c r="X11" s="275"/>
      <c r="Y11" s="275"/>
      <c r="Z11" s="275"/>
      <c r="AA11" s="275"/>
      <c r="AB11" s="276"/>
      <c r="AC11" s="236"/>
      <c r="AD11" s="236"/>
      <c r="AE11" s="236"/>
      <c r="AF11" s="236"/>
      <c r="AG11" s="66"/>
    </row>
    <row r="12" spans="1:33" ht="16.5" customHeight="1" x14ac:dyDescent="0.25">
      <c r="A12" s="180"/>
      <c r="B12" s="15"/>
      <c r="C12" s="182"/>
      <c r="D12" s="182"/>
      <c r="E12" s="182"/>
      <c r="F12" s="182"/>
      <c r="G12" s="112"/>
      <c r="H12" s="182"/>
      <c r="I12" s="182"/>
      <c r="J12" s="182"/>
      <c r="K12" s="17"/>
      <c r="L12" s="187"/>
      <c r="M12" s="187"/>
      <c r="N12" s="190"/>
      <c r="O12" s="190"/>
      <c r="P12" s="16"/>
      <c r="R12" s="273"/>
      <c r="S12" s="274"/>
      <c r="T12" s="275"/>
      <c r="U12" s="275"/>
      <c r="V12" s="275"/>
      <c r="W12" s="275"/>
      <c r="X12" s="275"/>
      <c r="Y12" s="275"/>
      <c r="Z12" s="275"/>
      <c r="AA12" s="275"/>
      <c r="AB12" s="276"/>
      <c r="AC12" s="236"/>
      <c r="AD12" s="236"/>
      <c r="AE12" s="236"/>
      <c r="AF12" s="236"/>
      <c r="AG12" s="66"/>
    </row>
    <row r="13" spans="1:33" ht="16.5" customHeight="1" x14ac:dyDescent="0.25">
      <c r="A13" s="180"/>
      <c r="B13" s="15"/>
      <c r="C13" s="177" t="str">
        <f>VLOOKUP(10,Language!C3:AI68,Language!$B$2+1,FALSE)</f>
        <v>Produktionsdatum / Zeitraum</v>
      </c>
      <c r="D13" s="177"/>
      <c r="E13" s="177"/>
      <c r="F13" s="177"/>
      <c r="G13" s="112"/>
      <c r="H13" s="188"/>
      <c r="I13" s="188"/>
      <c r="J13" s="188"/>
      <c r="K13" s="17"/>
      <c r="L13" s="187"/>
      <c r="M13" s="187"/>
      <c r="N13" s="190"/>
      <c r="O13" s="190"/>
      <c r="P13" s="16"/>
      <c r="R13" s="273"/>
      <c r="S13" s="274"/>
      <c r="T13" s="275"/>
      <c r="U13" s="275"/>
      <c r="V13" s="275"/>
      <c r="W13" s="275"/>
      <c r="X13" s="275"/>
      <c r="Y13" s="275"/>
      <c r="Z13" s="275"/>
      <c r="AA13" s="275"/>
      <c r="AB13" s="276"/>
      <c r="AC13" s="236"/>
      <c r="AD13" s="236"/>
      <c r="AE13" s="236"/>
      <c r="AF13" s="236"/>
      <c r="AG13" s="66"/>
    </row>
    <row r="14" spans="1:33" ht="16.5" customHeight="1" x14ac:dyDescent="0.25">
      <c r="A14" s="180"/>
      <c r="B14" s="15"/>
      <c r="C14" s="217"/>
      <c r="D14" s="182"/>
      <c r="E14" s="182"/>
      <c r="F14" s="182"/>
      <c r="G14" s="112"/>
      <c r="H14" s="221"/>
      <c r="I14" s="188"/>
      <c r="J14" s="188"/>
      <c r="K14" s="19"/>
      <c r="L14" s="187"/>
      <c r="M14" s="187"/>
      <c r="N14" s="190"/>
      <c r="O14" s="190"/>
      <c r="P14" s="16"/>
      <c r="R14" s="273"/>
      <c r="S14" s="274"/>
      <c r="T14" s="275"/>
      <c r="U14" s="275"/>
      <c r="V14" s="275"/>
      <c r="W14" s="275"/>
      <c r="X14" s="275"/>
      <c r="Y14" s="275"/>
      <c r="Z14" s="275"/>
      <c r="AA14" s="275"/>
      <c r="AB14" s="276"/>
      <c r="AC14" s="236"/>
      <c r="AD14" s="236"/>
      <c r="AE14" s="236"/>
      <c r="AF14" s="236"/>
      <c r="AG14" s="66"/>
    </row>
    <row r="15" spans="1:33" ht="4.5" customHeight="1" x14ac:dyDescent="0.25">
      <c r="A15" s="180"/>
      <c r="B15" s="15"/>
      <c r="C15" s="110"/>
      <c r="D15" s="110"/>
      <c r="E15" s="110"/>
      <c r="F15" s="110"/>
      <c r="G15" s="110"/>
      <c r="H15" s="110"/>
      <c r="I15" s="108"/>
      <c r="J15" s="108"/>
      <c r="K15" s="19"/>
      <c r="L15" s="187"/>
      <c r="M15" s="187"/>
      <c r="N15" s="190"/>
      <c r="O15" s="190"/>
      <c r="P15" s="16"/>
      <c r="R15" s="273"/>
      <c r="S15" s="274"/>
      <c r="T15" s="275"/>
      <c r="U15" s="275"/>
      <c r="V15" s="275"/>
      <c r="W15" s="275"/>
      <c r="X15" s="275"/>
      <c r="Y15" s="275"/>
      <c r="Z15" s="275"/>
      <c r="AA15" s="275"/>
      <c r="AB15" s="276"/>
      <c r="AC15" s="236"/>
      <c r="AD15" s="236"/>
      <c r="AE15" s="236"/>
      <c r="AF15" s="236"/>
      <c r="AG15" s="66"/>
    </row>
    <row r="16" spans="1:33" ht="4.5" customHeight="1" thickBot="1" x14ac:dyDescent="0.3">
      <c r="A16" s="180"/>
      <c r="B16" s="24"/>
      <c r="C16" s="25"/>
      <c r="D16" s="25"/>
      <c r="E16" s="25"/>
      <c r="F16" s="25"/>
      <c r="G16" s="25"/>
      <c r="H16" s="25"/>
      <c r="I16" s="54"/>
      <c r="J16" s="54"/>
      <c r="K16" s="55"/>
      <c r="L16" s="187"/>
      <c r="M16" s="187"/>
      <c r="N16" s="190"/>
      <c r="O16" s="190"/>
      <c r="P16" s="16"/>
      <c r="R16" s="273"/>
      <c r="S16" s="274"/>
      <c r="T16" s="275"/>
      <c r="U16" s="275"/>
      <c r="V16" s="275"/>
      <c r="W16" s="275"/>
      <c r="X16" s="275"/>
      <c r="Y16" s="275"/>
      <c r="Z16" s="275"/>
      <c r="AA16" s="275"/>
      <c r="AB16" s="276"/>
      <c r="AC16" s="236"/>
      <c r="AD16" s="236"/>
      <c r="AE16" s="236"/>
      <c r="AF16" s="236"/>
      <c r="AG16" s="66"/>
    </row>
    <row r="17" spans="1:33" ht="16.5" customHeight="1" x14ac:dyDescent="0.25">
      <c r="A17" s="180"/>
      <c r="B17" s="15"/>
      <c r="C17" s="185" t="str">
        <f>VLOOKUP(13,Language!C3:AI68,Language!$B$2+1,FALSE)</f>
        <v>Name, Vorname Ansprechpartner</v>
      </c>
      <c r="D17" s="178"/>
      <c r="E17" s="178"/>
      <c r="F17" s="178"/>
      <c r="G17" s="133"/>
      <c r="H17" s="178" t="str">
        <f>VLOOKUP(14,Language!C3:AI68,Language!$B$2+1,FALSE)</f>
        <v>Abteilung</v>
      </c>
      <c r="I17" s="178"/>
      <c r="J17" s="178"/>
      <c r="K17" s="19"/>
      <c r="L17" s="187"/>
      <c r="M17" s="187"/>
      <c r="N17" s="190"/>
      <c r="O17" s="190"/>
      <c r="P17" s="16"/>
      <c r="R17" s="273"/>
      <c r="S17" s="274"/>
      <c r="T17" s="275"/>
      <c r="U17" s="275"/>
      <c r="V17" s="275"/>
      <c r="W17" s="275"/>
      <c r="X17" s="275"/>
      <c r="Y17" s="275"/>
      <c r="Z17" s="275"/>
      <c r="AA17" s="275"/>
      <c r="AB17" s="276"/>
      <c r="AC17" s="236"/>
      <c r="AD17" s="236"/>
      <c r="AE17" s="236"/>
      <c r="AF17" s="236"/>
      <c r="AG17" s="66"/>
    </row>
    <row r="18" spans="1:33" ht="16.5" customHeight="1" x14ac:dyDescent="0.25">
      <c r="A18" s="180"/>
      <c r="B18" s="15"/>
      <c r="C18" s="217"/>
      <c r="D18" s="182"/>
      <c r="E18" s="182"/>
      <c r="F18" s="182"/>
      <c r="G18" s="112"/>
      <c r="H18" s="194"/>
      <c r="I18" s="182"/>
      <c r="J18" s="182"/>
      <c r="K18" s="109"/>
      <c r="L18" s="187"/>
      <c r="M18" s="187"/>
      <c r="N18" s="190"/>
      <c r="O18" s="190"/>
      <c r="P18" s="16"/>
      <c r="R18" s="273"/>
      <c r="S18" s="274"/>
      <c r="T18" s="275"/>
      <c r="U18" s="275"/>
      <c r="V18" s="275"/>
      <c r="W18" s="275"/>
      <c r="X18" s="275"/>
      <c r="Y18" s="275"/>
      <c r="Z18" s="275"/>
      <c r="AA18" s="275"/>
      <c r="AB18" s="276"/>
      <c r="AC18" s="236"/>
      <c r="AD18" s="236"/>
      <c r="AE18" s="236"/>
      <c r="AF18" s="236"/>
      <c r="AG18" s="66"/>
    </row>
    <row r="19" spans="1:33" ht="16.5" customHeight="1" x14ac:dyDescent="0.25">
      <c r="A19" s="180"/>
      <c r="B19" s="15"/>
      <c r="C19" s="185" t="str">
        <f>VLOOKUP(15,Language!C3:AI68,Language!$B$2+1,FALSE)</f>
        <v>E-Mail</v>
      </c>
      <c r="D19" s="196"/>
      <c r="E19" s="196"/>
      <c r="F19" s="196"/>
      <c r="G19" s="133"/>
      <c r="H19" s="181" t="str">
        <f>VLOOKUP(16,Language!C3:AI68,Language!$B$2+1,FALSE)</f>
        <v>Telefon</v>
      </c>
      <c r="I19" s="178"/>
      <c r="J19" s="178"/>
      <c r="K19" s="109"/>
      <c r="L19" s="187"/>
      <c r="M19" s="187"/>
      <c r="N19" s="190"/>
      <c r="O19" s="190"/>
      <c r="P19" s="16"/>
      <c r="R19" s="273"/>
      <c r="S19" s="274"/>
      <c r="T19" s="275"/>
      <c r="U19" s="275"/>
      <c r="V19" s="275"/>
      <c r="W19" s="275"/>
      <c r="X19" s="275"/>
      <c r="Y19" s="275"/>
      <c r="Z19" s="275"/>
      <c r="AA19" s="275"/>
      <c r="AB19" s="276"/>
      <c r="AC19" s="236"/>
      <c r="AD19" s="236"/>
      <c r="AE19" s="236"/>
      <c r="AF19" s="236"/>
      <c r="AG19" s="66"/>
    </row>
    <row r="20" spans="1:33" ht="16.5" customHeight="1" x14ac:dyDescent="0.25">
      <c r="A20" s="180"/>
      <c r="B20" s="15"/>
      <c r="C20" s="197"/>
      <c r="D20" s="198"/>
      <c r="E20" s="198"/>
      <c r="F20" s="198"/>
      <c r="G20" s="112"/>
      <c r="H20" s="199"/>
      <c r="I20" s="200"/>
      <c r="J20" s="200"/>
      <c r="K20" s="109"/>
      <c r="L20" s="187"/>
      <c r="M20" s="187"/>
      <c r="N20" s="190"/>
      <c r="O20" s="190"/>
      <c r="P20" s="16"/>
      <c r="R20" s="273"/>
      <c r="S20" s="274"/>
      <c r="T20" s="275"/>
      <c r="U20" s="275"/>
      <c r="V20" s="275"/>
      <c r="W20" s="275"/>
      <c r="X20" s="275"/>
      <c r="Y20" s="275"/>
      <c r="Z20" s="275"/>
      <c r="AA20" s="275"/>
      <c r="AB20" s="276"/>
      <c r="AC20" s="236"/>
      <c r="AD20" s="236"/>
      <c r="AE20" s="236"/>
      <c r="AF20" s="236"/>
      <c r="AG20" s="66"/>
    </row>
    <row r="21" spans="1:33" ht="16.5" customHeight="1" x14ac:dyDescent="0.25">
      <c r="A21" s="180"/>
      <c r="B21" s="15"/>
      <c r="C21" s="132" t="str">
        <f>VLOOKUP(17,Language!C3:AI68,Language!$B$2+1,FALSE)</f>
        <v>Problembeschreibung aus dem Mängelbericht. Gegebenenfalls genauer beschreiben</v>
      </c>
      <c r="D21" s="108"/>
      <c r="E21" s="20"/>
      <c r="F21" s="21"/>
      <c r="G21" s="21"/>
      <c r="H21" s="110"/>
      <c r="I21" s="108"/>
      <c r="J21" s="20"/>
      <c r="K21" s="20"/>
      <c r="L21" s="22"/>
      <c r="M21" s="22"/>
      <c r="N21" s="22"/>
      <c r="O21" s="22"/>
      <c r="P21" s="16"/>
      <c r="R21" s="273"/>
      <c r="S21" s="65"/>
      <c r="T21" s="135" t="str">
        <f>VLOOKUP(17,Language!C3:AI68,Language!$B$2+1,FALSE)</f>
        <v>Problembeschreibung aus dem Mängelbericht. Gegebenenfalls genauer beschreiben</v>
      </c>
      <c r="U21" s="67"/>
      <c r="V21" s="71"/>
      <c r="W21" s="72"/>
      <c r="X21" s="72"/>
      <c r="Y21" s="68"/>
      <c r="Z21" s="67"/>
      <c r="AA21" s="71"/>
      <c r="AB21" s="71"/>
      <c r="AC21" s="73"/>
      <c r="AD21" s="73"/>
      <c r="AE21" s="73"/>
      <c r="AF21" s="73"/>
      <c r="AG21" s="66"/>
    </row>
    <row r="22" spans="1:33" ht="58.5" customHeight="1" x14ac:dyDescent="0.25">
      <c r="A22" s="180"/>
      <c r="B22" s="107"/>
      <c r="C22" s="218"/>
      <c r="D22" s="194"/>
      <c r="E22" s="195"/>
      <c r="F22" s="195"/>
      <c r="G22" s="195"/>
      <c r="H22" s="195"/>
      <c r="I22" s="195"/>
      <c r="J22" s="195"/>
      <c r="K22" s="195"/>
      <c r="L22" s="195"/>
      <c r="M22" s="195"/>
      <c r="N22" s="195"/>
      <c r="O22" s="195"/>
      <c r="P22" s="23"/>
      <c r="R22" s="273"/>
      <c r="S22" s="105"/>
      <c r="T22" s="277" t="str">
        <f>VLOOKUP(33,Language!C3:AI68,Language!$B$2+1,FALSE)</f>
        <v>Problembeschreibung aus dem Mängelbericht. Gegebenenfalls genauer beschreiben</v>
      </c>
      <c r="U22" s="239"/>
      <c r="V22" s="240"/>
      <c r="W22" s="240"/>
      <c r="X22" s="240"/>
      <c r="Y22" s="240"/>
      <c r="Z22" s="240"/>
      <c r="AA22" s="240"/>
      <c r="AB22" s="240"/>
      <c r="AC22" s="240"/>
      <c r="AD22" s="240"/>
      <c r="AE22" s="240"/>
      <c r="AF22" s="240"/>
      <c r="AG22" s="74"/>
    </row>
    <row r="23" spans="1:33" ht="6.75" customHeight="1" thickBot="1" x14ac:dyDescent="0.3">
      <c r="A23" s="180"/>
      <c r="B23" s="24"/>
      <c r="C23" s="25"/>
      <c r="D23" s="25"/>
      <c r="E23" s="26"/>
      <c r="F23" s="26"/>
      <c r="G23" s="26"/>
      <c r="H23" s="26"/>
      <c r="I23" s="26"/>
      <c r="J23" s="26"/>
      <c r="K23" s="26"/>
      <c r="L23" s="26"/>
      <c r="M23" s="26"/>
      <c r="N23" s="26"/>
      <c r="O23" s="26"/>
      <c r="P23" s="27"/>
      <c r="R23" s="273"/>
      <c r="S23" s="69"/>
      <c r="T23" s="70"/>
      <c r="U23" s="70"/>
      <c r="V23" s="75"/>
      <c r="W23" s="75"/>
      <c r="X23" s="75"/>
      <c r="Y23" s="75"/>
      <c r="Z23" s="75"/>
      <c r="AA23" s="75"/>
      <c r="AB23" s="75"/>
      <c r="AC23" s="75"/>
      <c r="AD23" s="75"/>
      <c r="AE23" s="75"/>
      <c r="AF23" s="75"/>
      <c r="AG23" s="76"/>
    </row>
    <row r="24" spans="1:33" ht="5.25" customHeight="1" x14ac:dyDescent="0.25">
      <c r="A24" s="180"/>
      <c r="B24" s="28"/>
      <c r="C24" s="29"/>
      <c r="D24" s="29"/>
      <c r="E24" s="30"/>
      <c r="F24" s="30"/>
      <c r="G24" s="30"/>
      <c r="H24" s="30"/>
      <c r="I24" s="30"/>
      <c r="J24" s="30"/>
      <c r="K24" s="30"/>
      <c r="L24" s="30"/>
      <c r="M24" s="30"/>
      <c r="N24" s="30"/>
      <c r="O24" s="30"/>
      <c r="P24" s="31"/>
      <c r="R24" s="273"/>
      <c r="S24" s="77"/>
      <c r="T24" s="78"/>
      <c r="U24" s="78"/>
      <c r="V24" s="79"/>
      <c r="W24" s="79"/>
      <c r="X24" s="79"/>
      <c r="Y24" s="79"/>
      <c r="Z24" s="79"/>
      <c r="AA24" s="79"/>
      <c r="AB24" s="79"/>
      <c r="AC24" s="79"/>
      <c r="AD24" s="79"/>
      <c r="AE24" s="79"/>
      <c r="AF24" s="79"/>
      <c r="AG24" s="80"/>
    </row>
    <row r="25" spans="1:33" ht="18" customHeight="1" x14ac:dyDescent="0.25">
      <c r="A25" s="180"/>
      <c r="B25" s="15"/>
      <c r="C25" s="178" t="str">
        <f>VLOOKUP(18,Language!C3:AI68,Language!$B$2+1,FALSE)</f>
        <v>Sofortmaßnahmen</v>
      </c>
      <c r="D25" s="178"/>
      <c r="E25" s="178"/>
      <c r="F25" s="178"/>
      <c r="G25" s="178"/>
      <c r="H25" s="178"/>
      <c r="I25" s="178"/>
      <c r="J25" s="178"/>
      <c r="K25" s="178"/>
      <c r="L25" s="178"/>
      <c r="M25" s="108"/>
      <c r="N25" s="108"/>
      <c r="O25" s="134" t="str">
        <f>VLOOKUP(19,Language!C3:AI68,Language!$B$2+1,FALSE)</f>
        <v>Einführungsdatum</v>
      </c>
      <c r="P25" s="32"/>
      <c r="R25" s="273"/>
      <c r="S25" s="65"/>
      <c r="T25" s="222" t="str">
        <f>VLOOKUP(18,Language!C3:AI68,Language!$B$2+1,FALSE)</f>
        <v>Sofortmaßnahmen</v>
      </c>
      <c r="U25" s="222"/>
      <c r="V25" s="222"/>
      <c r="W25" s="222"/>
      <c r="X25" s="222"/>
      <c r="Y25" s="222"/>
      <c r="Z25" s="222"/>
      <c r="AA25" s="222"/>
      <c r="AB25" s="222"/>
      <c r="AC25" s="222"/>
      <c r="AD25" s="67"/>
      <c r="AE25" s="67"/>
      <c r="AF25" s="136" t="str">
        <f>VLOOKUP(19,Language!C3:AI68,Language!$B$2+1,FALSE)</f>
        <v>Einführungsdatum</v>
      </c>
      <c r="AG25" s="81"/>
    </row>
    <row r="26" spans="1:33" ht="35.25" customHeight="1" x14ac:dyDescent="0.25">
      <c r="A26" s="180"/>
      <c r="B26" s="15"/>
      <c r="C26" s="203"/>
      <c r="D26" s="203"/>
      <c r="E26" s="203"/>
      <c r="F26" s="203"/>
      <c r="G26" s="203"/>
      <c r="H26" s="203"/>
      <c r="I26" s="203"/>
      <c r="J26" s="203"/>
      <c r="K26" s="203"/>
      <c r="L26" s="203"/>
      <c r="M26" s="216"/>
      <c r="N26" s="216"/>
      <c r="O26" s="5"/>
      <c r="P26" s="33"/>
      <c r="R26" s="273"/>
      <c r="S26" s="65"/>
      <c r="T26" s="223" t="str">
        <f>VLOOKUP(34,Language!C3:AI68,Language!$B$2+1,FALSE)</f>
        <v>Beispiele für Sofortmaßnahmen:
Sind die zuständigen Mitarbeiter über die Reklamation informiert worden?
Sind fehlerhafte Bauteile gesperrt worden?
Ist sichergestellt, dass die nächste Auslieferung an W&amp;H geprüft wurde und fehlerfrei ist?
Ist eine Warenausgangskontrolle installiert worden?
Sind Lagerbestände vorhanden und müssen diese überprüft werden?
Sind weitere W&amp;H-Bestellungen vorhanden und müssen diese überprüft werden?
Sind ähnliche Materialnummern/ Bauteile betroffen?
Ist die termingerechte Lieferung an W&amp;H sichergestellt?</v>
      </c>
      <c r="U26" s="224"/>
      <c r="V26" s="224"/>
      <c r="W26" s="224"/>
      <c r="X26" s="224"/>
      <c r="Y26" s="224"/>
      <c r="Z26" s="224"/>
      <c r="AA26" s="224"/>
      <c r="AB26" s="224"/>
      <c r="AC26" s="224"/>
      <c r="AD26" s="224"/>
      <c r="AE26" s="225"/>
      <c r="AF26" s="232" t="str">
        <f>VLOOKUP(35,Language!C3:AI68,Language!$B$2+1,FALSE)</f>
        <v>Wann wurde die 
Sofortmaßnahme eingeführt? (Datum)</v>
      </c>
      <c r="AG26" s="82"/>
    </row>
    <row r="27" spans="1:33" ht="35.25" customHeight="1" x14ac:dyDescent="0.25">
      <c r="A27" s="180"/>
      <c r="B27" s="15"/>
      <c r="C27" s="203"/>
      <c r="D27" s="203"/>
      <c r="E27" s="203"/>
      <c r="F27" s="203"/>
      <c r="G27" s="203"/>
      <c r="H27" s="203"/>
      <c r="I27" s="203"/>
      <c r="J27" s="203"/>
      <c r="K27" s="203"/>
      <c r="L27" s="203"/>
      <c r="M27" s="216"/>
      <c r="N27" s="216"/>
      <c r="O27" s="5"/>
      <c r="P27" s="34"/>
      <c r="R27" s="273"/>
      <c r="S27" s="65"/>
      <c r="T27" s="226"/>
      <c r="U27" s="227"/>
      <c r="V27" s="227"/>
      <c r="W27" s="227"/>
      <c r="X27" s="227"/>
      <c r="Y27" s="227"/>
      <c r="Z27" s="227"/>
      <c r="AA27" s="227"/>
      <c r="AB27" s="227"/>
      <c r="AC27" s="227"/>
      <c r="AD27" s="227"/>
      <c r="AE27" s="228"/>
      <c r="AF27" s="233"/>
      <c r="AG27" s="83"/>
    </row>
    <row r="28" spans="1:33" ht="35.25" customHeight="1" x14ac:dyDescent="0.25">
      <c r="A28" s="180"/>
      <c r="B28" s="15"/>
      <c r="C28" s="203"/>
      <c r="D28" s="203"/>
      <c r="E28" s="203"/>
      <c r="F28" s="203"/>
      <c r="G28" s="203"/>
      <c r="H28" s="203"/>
      <c r="I28" s="203"/>
      <c r="J28" s="203"/>
      <c r="K28" s="203"/>
      <c r="L28" s="203"/>
      <c r="M28" s="216"/>
      <c r="N28" s="216"/>
      <c r="O28" s="5"/>
      <c r="P28" s="34"/>
      <c r="R28" s="273"/>
      <c r="S28" s="65"/>
      <c r="T28" s="226"/>
      <c r="U28" s="227"/>
      <c r="V28" s="227"/>
      <c r="W28" s="227"/>
      <c r="X28" s="227"/>
      <c r="Y28" s="227"/>
      <c r="Z28" s="227"/>
      <c r="AA28" s="227"/>
      <c r="AB28" s="227"/>
      <c r="AC28" s="227"/>
      <c r="AD28" s="227"/>
      <c r="AE28" s="228"/>
      <c r="AF28" s="233"/>
      <c r="AG28" s="83"/>
    </row>
    <row r="29" spans="1:33" ht="35.25" customHeight="1" x14ac:dyDescent="0.25">
      <c r="A29" s="180"/>
      <c r="B29" s="15"/>
      <c r="C29" s="203"/>
      <c r="D29" s="203"/>
      <c r="E29" s="203"/>
      <c r="F29" s="203"/>
      <c r="G29" s="203"/>
      <c r="H29" s="203"/>
      <c r="I29" s="203"/>
      <c r="J29" s="203"/>
      <c r="K29" s="203"/>
      <c r="L29" s="203"/>
      <c r="M29" s="216"/>
      <c r="N29" s="216"/>
      <c r="O29" s="5"/>
      <c r="P29" s="34"/>
      <c r="R29" s="273"/>
      <c r="S29" s="65"/>
      <c r="T29" s="226"/>
      <c r="U29" s="227"/>
      <c r="V29" s="227"/>
      <c r="W29" s="227"/>
      <c r="X29" s="227"/>
      <c r="Y29" s="227"/>
      <c r="Z29" s="227"/>
      <c r="AA29" s="227"/>
      <c r="AB29" s="227"/>
      <c r="AC29" s="227"/>
      <c r="AD29" s="227"/>
      <c r="AE29" s="228"/>
      <c r="AF29" s="233"/>
      <c r="AG29" s="83"/>
    </row>
    <row r="30" spans="1:33" ht="35.25" customHeight="1" x14ac:dyDescent="0.25">
      <c r="A30" s="180"/>
      <c r="B30" s="15"/>
      <c r="C30" s="203"/>
      <c r="D30" s="203"/>
      <c r="E30" s="203"/>
      <c r="F30" s="203"/>
      <c r="G30" s="203"/>
      <c r="H30" s="203"/>
      <c r="I30" s="203"/>
      <c r="J30" s="203"/>
      <c r="K30" s="203"/>
      <c r="L30" s="203"/>
      <c r="M30" s="216"/>
      <c r="N30" s="216"/>
      <c r="O30" s="5"/>
      <c r="P30" s="34"/>
      <c r="R30" s="273"/>
      <c r="S30" s="65"/>
      <c r="T30" s="226"/>
      <c r="U30" s="227"/>
      <c r="V30" s="227"/>
      <c r="W30" s="227"/>
      <c r="X30" s="227"/>
      <c r="Y30" s="227"/>
      <c r="Z30" s="227"/>
      <c r="AA30" s="227"/>
      <c r="AB30" s="227"/>
      <c r="AC30" s="227"/>
      <c r="AD30" s="227"/>
      <c r="AE30" s="228"/>
      <c r="AF30" s="233"/>
      <c r="AG30" s="83"/>
    </row>
    <row r="31" spans="1:33" ht="35.25" customHeight="1" x14ac:dyDescent="0.25">
      <c r="A31" s="180"/>
      <c r="B31" s="15"/>
      <c r="C31" s="203"/>
      <c r="D31" s="203"/>
      <c r="E31" s="203"/>
      <c r="F31" s="203"/>
      <c r="G31" s="203"/>
      <c r="H31" s="203"/>
      <c r="I31" s="203"/>
      <c r="J31" s="203"/>
      <c r="K31" s="203"/>
      <c r="L31" s="203"/>
      <c r="M31" s="216"/>
      <c r="N31" s="216"/>
      <c r="O31" s="5"/>
      <c r="P31" s="34"/>
      <c r="R31" s="273"/>
      <c r="S31" s="65"/>
      <c r="T31" s="229"/>
      <c r="U31" s="230"/>
      <c r="V31" s="230"/>
      <c r="W31" s="230"/>
      <c r="X31" s="230"/>
      <c r="Y31" s="230"/>
      <c r="Z31" s="230"/>
      <c r="AA31" s="230"/>
      <c r="AB31" s="230"/>
      <c r="AC31" s="230"/>
      <c r="AD31" s="230"/>
      <c r="AE31" s="231"/>
      <c r="AF31" s="234"/>
      <c r="AG31" s="83"/>
    </row>
    <row r="32" spans="1:33" ht="4.5" customHeight="1" thickBot="1" x14ac:dyDescent="0.3">
      <c r="A32" s="180"/>
      <c r="B32" s="24"/>
      <c r="C32" s="35"/>
      <c r="D32" s="35"/>
      <c r="E32" s="35"/>
      <c r="F32" s="35"/>
      <c r="G32" s="35"/>
      <c r="H32" s="35"/>
      <c r="I32" s="35"/>
      <c r="J32" s="35"/>
      <c r="K32" s="35"/>
      <c r="L32" s="35"/>
      <c r="M32" s="35"/>
      <c r="N32" s="35"/>
      <c r="O32" s="36"/>
      <c r="P32" s="37"/>
      <c r="R32" s="273"/>
      <c r="S32" s="69"/>
      <c r="T32" s="84"/>
      <c r="U32" s="84"/>
      <c r="V32" s="84"/>
      <c r="W32" s="84"/>
      <c r="X32" s="84"/>
      <c r="Y32" s="84"/>
      <c r="Z32" s="84"/>
      <c r="AA32" s="84"/>
      <c r="AB32" s="84"/>
      <c r="AC32" s="84"/>
      <c r="AD32" s="84"/>
      <c r="AE32" s="84"/>
      <c r="AF32" s="85"/>
      <c r="AG32" s="86"/>
    </row>
    <row r="33" spans="1:33" ht="6" customHeight="1" x14ac:dyDescent="0.25">
      <c r="A33" s="180"/>
      <c r="B33" s="28"/>
      <c r="C33" s="38"/>
      <c r="D33" s="38"/>
      <c r="E33" s="38"/>
      <c r="F33" s="38"/>
      <c r="G33" s="38"/>
      <c r="H33" s="38"/>
      <c r="I33" s="38"/>
      <c r="J33" s="38"/>
      <c r="K33" s="38"/>
      <c r="L33" s="38"/>
      <c r="M33" s="38"/>
      <c r="N33" s="38"/>
      <c r="O33" s="39"/>
      <c r="P33" s="40"/>
      <c r="R33" s="273"/>
      <c r="S33" s="77"/>
      <c r="T33" s="87"/>
      <c r="U33" s="87"/>
      <c r="V33" s="87"/>
      <c r="W33" s="87"/>
      <c r="X33" s="87"/>
      <c r="Y33" s="87"/>
      <c r="Z33" s="87"/>
      <c r="AA33" s="87"/>
      <c r="AB33" s="87"/>
      <c r="AC33" s="87"/>
      <c r="AD33" s="87"/>
      <c r="AE33" s="87"/>
      <c r="AF33" s="88"/>
      <c r="AG33" s="89"/>
    </row>
    <row r="34" spans="1:33" x14ac:dyDescent="0.25">
      <c r="A34" s="180"/>
      <c r="B34" s="15"/>
      <c r="C34" s="41"/>
      <c r="D34" s="161" t="str">
        <f>VLOOKUP(20,Language!C3:AI68,Language!$B$2+1,FALSE)</f>
        <v>Ursachenanalyse</v>
      </c>
      <c r="E34" s="161"/>
      <c r="F34" s="161"/>
      <c r="G34" s="161"/>
      <c r="H34" s="161"/>
      <c r="I34" s="161"/>
      <c r="J34" s="161"/>
      <c r="K34" s="161"/>
      <c r="L34" s="161"/>
      <c r="M34" s="161"/>
      <c r="N34" s="161"/>
      <c r="O34" s="161"/>
      <c r="P34" s="42"/>
      <c r="R34" s="273"/>
      <c r="S34" s="65"/>
      <c r="T34" s="90"/>
      <c r="U34" s="278" t="str">
        <f>VLOOKUP(20,Language!C3:AI68,Language!$B$2+1,FALSE)</f>
        <v>Ursachenanalyse</v>
      </c>
      <c r="V34" s="278"/>
      <c r="W34" s="278"/>
      <c r="X34" s="278"/>
      <c r="Y34" s="278"/>
      <c r="Z34" s="278"/>
      <c r="AA34" s="278"/>
      <c r="AB34" s="278"/>
      <c r="AC34" s="278"/>
      <c r="AD34" s="278"/>
      <c r="AE34" s="278"/>
      <c r="AF34" s="278"/>
      <c r="AG34" s="91"/>
    </row>
    <row r="35" spans="1:33" ht="105.75" customHeight="1" x14ac:dyDescent="0.25">
      <c r="A35" s="180"/>
      <c r="B35" s="15"/>
      <c r="C35" s="56" t="str">
        <f>VLOOKUP(21,Language!C3:AI68,Language!$B$2+1,FALSE)</f>
        <v>Auftreten</v>
      </c>
      <c r="D35" s="191"/>
      <c r="E35" s="192"/>
      <c r="F35" s="192"/>
      <c r="G35" s="192"/>
      <c r="H35" s="192"/>
      <c r="I35" s="192"/>
      <c r="J35" s="192"/>
      <c r="K35" s="192"/>
      <c r="L35" s="192"/>
      <c r="M35" s="192"/>
      <c r="N35" s="192"/>
      <c r="O35" s="193"/>
      <c r="P35" s="43"/>
      <c r="R35" s="273"/>
      <c r="S35" s="65"/>
      <c r="T35" s="92" t="str">
        <f>VLOOKUP(21,Language!C3:AI68,Language!$B$2+1,FALSE)</f>
        <v>Auftreten</v>
      </c>
      <c r="U35" s="238" t="str">
        <f>VLOOKUP(36,Language!C3:AI68,Language!$B$2+1,FALSE)</f>
        <v>Wieso ist das Problem aufgetreten? Was ist die Grundursache für das Auftreten des Problems? 
Bei komplexen Problemen sind auch mehrere Grundursachen möglich.
Möglichst Nachweise für die Grundursache beifügen.</v>
      </c>
      <c r="V35" s="238"/>
      <c r="W35" s="238"/>
      <c r="X35" s="238"/>
      <c r="Y35" s="238"/>
      <c r="Z35" s="238"/>
      <c r="AA35" s="238"/>
      <c r="AB35" s="238"/>
      <c r="AC35" s="238"/>
      <c r="AD35" s="238"/>
      <c r="AE35" s="238"/>
      <c r="AF35" s="238"/>
      <c r="AG35" s="93"/>
    </row>
    <row r="36" spans="1:33" ht="105.75" customHeight="1" x14ac:dyDescent="0.25">
      <c r="A36" s="180"/>
      <c r="B36" s="15"/>
      <c r="C36" s="56" t="str">
        <f>VLOOKUP(22,Language!C3:AI68,Language!$B$2+1,FALSE)</f>
        <v>Nicht-Entdecken</v>
      </c>
      <c r="D36" s="209"/>
      <c r="E36" s="210"/>
      <c r="F36" s="210"/>
      <c r="G36" s="210"/>
      <c r="H36" s="210"/>
      <c r="I36" s="210"/>
      <c r="J36" s="210"/>
      <c r="K36" s="210"/>
      <c r="L36" s="210"/>
      <c r="M36" s="210"/>
      <c r="N36" s="210"/>
      <c r="O36" s="211"/>
      <c r="P36" s="23"/>
      <c r="R36" s="273"/>
      <c r="S36" s="65"/>
      <c r="T36" s="92" t="str">
        <f>VLOOKUP(22,Language!C3:AI68,Language!$B$2+1,FALSE)</f>
        <v>Nicht-Entdecken</v>
      </c>
      <c r="U36" s="243" t="str">
        <f>VLOOKUP(37,Language!C3:AI68,Language!$B$2+1,FALSE)</f>
        <v>Wieso wurde das Problem nicht entdeckt? Was ist die Grundursache für das Nicht-Entdecken des Problems? 
Mehrfachnennungen sind möglich.
Möglichst Nachweise für die Grundursache beifügen.</v>
      </c>
      <c r="V36" s="243"/>
      <c r="W36" s="243"/>
      <c r="X36" s="243"/>
      <c r="Y36" s="243"/>
      <c r="Z36" s="243"/>
      <c r="AA36" s="243"/>
      <c r="AB36" s="243"/>
      <c r="AC36" s="243"/>
      <c r="AD36" s="243"/>
      <c r="AE36" s="243"/>
      <c r="AF36" s="243"/>
      <c r="AG36" s="74"/>
    </row>
    <row r="37" spans="1:33" x14ac:dyDescent="0.25">
      <c r="A37" s="180"/>
      <c r="B37" s="15"/>
      <c r="C37" s="41"/>
      <c r="D37" s="188" t="str">
        <f>VLOOKUP(24,Language!C3:AI68,Language!$B$2+1,FALSE)</f>
        <v>Nachhaltige Korrekturmaßnahmen</v>
      </c>
      <c r="E37" s="188"/>
      <c r="F37" s="188"/>
      <c r="G37" s="188"/>
      <c r="H37" s="188"/>
      <c r="I37" s="188"/>
      <c r="J37" s="188"/>
      <c r="K37" s="212"/>
      <c r="L37" s="212"/>
      <c r="M37" s="188" t="str">
        <f>VLOOKUP(25,Language!C3:AI68,Language!$B$2+1,FALSE)</f>
        <v>Wirksamkeitsnachweis (nach Möglichkeit mitsenden)</v>
      </c>
      <c r="N37" s="213"/>
      <c r="O37" s="44" t="str">
        <f>VLOOKUP(26,Language!C3:AI68,Language!$B$2+1,FALSE)</f>
        <v>Einführungsdatum</v>
      </c>
      <c r="P37" s="45"/>
      <c r="R37" s="273"/>
      <c r="S37" s="65"/>
      <c r="T37" s="90"/>
      <c r="U37" s="222" t="str">
        <f>VLOOKUP(24,Language!C3:AI68,Language!$B$2+1,FALSE)</f>
        <v>Nachhaltige Korrekturmaßnahmen</v>
      </c>
      <c r="V37" s="222"/>
      <c r="W37" s="222"/>
      <c r="X37" s="222"/>
      <c r="Y37" s="222"/>
      <c r="Z37" s="222"/>
      <c r="AA37" s="222"/>
      <c r="AB37" s="241"/>
      <c r="AC37" s="241"/>
      <c r="AD37" s="222" t="str">
        <f>VLOOKUP(25,Language!C3:AI68,Language!$B$2+1,FALSE)</f>
        <v>Wirksamkeitsnachweis (nach Möglichkeit mitsenden)</v>
      </c>
      <c r="AE37" s="242"/>
      <c r="AF37" s="137" t="str">
        <f>VLOOKUP(26,Language!C3:AI68,Language!$B$2+1,FALSE)</f>
        <v>Einführungsdatum</v>
      </c>
      <c r="AG37" s="94"/>
    </row>
    <row r="38" spans="1:33" ht="149.25" customHeight="1" x14ac:dyDescent="0.25">
      <c r="A38" s="180"/>
      <c r="B38" s="15"/>
      <c r="C38" s="56" t="str">
        <f>VLOOKUP(21,Language!C3:AI68,Language!$B$2+1,FALSE)</f>
        <v>Auftreten</v>
      </c>
      <c r="D38" s="203"/>
      <c r="E38" s="203"/>
      <c r="F38" s="203"/>
      <c r="G38" s="203"/>
      <c r="H38" s="203"/>
      <c r="I38" s="203"/>
      <c r="J38" s="203"/>
      <c r="K38" s="204"/>
      <c r="L38" s="204"/>
      <c r="M38" s="205"/>
      <c r="N38" s="206"/>
      <c r="O38" s="57"/>
      <c r="P38" s="46"/>
      <c r="R38" s="273"/>
      <c r="S38" s="65"/>
      <c r="T38" s="92" t="str">
        <f>VLOOKUP(21,Language!C3:AI68,Language!$B$2+1,FALSE)</f>
        <v>Auftreten</v>
      </c>
      <c r="U38" s="243" t="str">
        <f>VLOOKUP(38,Language!C3:AI68,Language!$B$2+1,FALSE)</f>
        <v>Die nachhaltige Problemlösung (Fehlervermeidung) muss im Vordergrund stehen.
Für jede Grundursache (Auftreten) muss mindestens eine Korrekturmaßnahme eingetragen werden.
Eine einfache Mitarbeiterunterweisung wird im Qualitätsmanagement nicht als nachhaltige Korrekturmaßnahme akzeptiert.</v>
      </c>
      <c r="V38" s="243"/>
      <c r="W38" s="243"/>
      <c r="X38" s="243"/>
      <c r="Y38" s="243"/>
      <c r="Z38" s="243"/>
      <c r="AA38" s="243"/>
      <c r="AB38" s="244"/>
      <c r="AC38" s="244"/>
      <c r="AD38" s="245" t="str">
        <f>VLOOKUP(39,Language!C3:AI68,Language!$B$2+1,FALSE)</f>
        <v>Bitte geben Sie einen Nachweis zur Wirksamkeit der eingeführten Korrekturmaßnahme (Auftreten) an. Beispiel: Audit, Prozessbestätigung, Validierung und andere. Der Wirksamkeitsnachweis ist mit dem 
WH-A4 Formular an W&amp;H zu senden.</v>
      </c>
      <c r="AE38" s="246"/>
      <c r="AF38" s="106" t="str">
        <f>VLOOKUP(40,Language!C3:AI68,Language!$B$2+1,FALSE)</f>
        <v>Wann wurde die Korrekturmaßnahme (Auftreten) eingeführt?</v>
      </c>
      <c r="AG38" s="95"/>
    </row>
    <row r="39" spans="1:33" ht="149.25" customHeight="1" x14ac:dyDescent="0.25">
      <c r="A39" s="180"/>
      <c r="B39" s="15"/>
      <c r="C39" s="56" t="str">
        <f>VLOOKUP(22,Language!C3:AI68,Language!$B$2+1,FALSE)</f>
        <v>Nicht-Entdecken</v>
      </c>
      <c r="D39" s="203"/>
      <c r="E39" s="203"/>
      <c r="F39" s="203"/>
      <c r="G39" s="203"/>
      <c r="H39" s="203"/>
      <c r="I39" s="203"/>
      <c r="J39" s="203"/>
      <c r="K39" s="204"/>
      <c r="L39" s="204"/>
      <c r="M39" s="207"/>
      <c r="N39" s="208"/>
      <c r="O39" s="57"/>
      <c r="P39" s="46"/>
      <c r="R39" s="273"/>
      <c r="S39" s="65"/>
      <c r="T39" s="92" t="str">
        <f>VLOOKUP(22,Language!C3:AI68,Language!$B$2+1,FALSE)</f>
        <v>Nicht-Entdecken</v>
      </c>
      <c r="U39" s="243" t="str">
        <f>VLOOKUP(41,Language!C3:AI68,Language!$B$2+1,FALSE)</f>
        <v>Die nachhaltige Problemlösung (Fehlervermeidung) muss im Vordergrund stehen.
Für jede Grundursache (Nicht entdecken) muss mindestens eine Korrekturmaßnahme eingetragen werden. 
Eine einfache Mitarbeiterunterweisung wird im Qualitätsmanagement nicht als nachhaltige Korrekturmaßnahme akzeptiert.</v>
      </c>
      <c r="V39" s="243"/>
      <c r="W39" s="243"/>
      <c r="X39" s="243"/>
      <c r="Y39" s="243"/>
      <c r="Z39" s="243"/>
      <c r="AA39" s="243"/>
      <c r="AB39" s="244"/>
      <c r="AC39" s="244"/>
      <c r="AD39" s="247" t="str">
        <f>VLOOKUP(42,Language!C3:AI68,Language!$B$2+1,FALSE)</f>
        <v>Bitte geben Sie einen Nachweis zur Wirksamkeit der eingeführten Korrekturmaßnahme (Nicht entdecken) an. Beispiel: Audit, Prozessbestätigung, Validierung und andere. Der Wirksamkeitsnachweis ist mit dem WH-A4 Formular an W&amp;H zu senden.</v>
      </c>
      <c r="AE39" s="248"/>
      <c r="AF39" s="106" t="str">
        <f>VLOOKUP(43,Language!C3:AI68,Language!$B$2+1,FALSE)</f>
        <v>Wann wurde die Korrekturmaßnahme (Nicht entdecken) eingeführt?</v>
      </c>
      <c r="AG39" s="95"/>
    </row>
    <row r="40" spans="1:33" ht="5.25" customHeight="1" thickBot="1" x14ac:dyDescent="0.3">
      <c r="A40" s="180"/>
      <c r="B40" s="24"/>
      <c r="C40" s="201"/>
      <c r="D40" s="201"/>
      <c r="E40" s="201"/>
      <c r="F40" s="201"/>
      <c r="G40" s="201"/>
      <c r="H40" s="201"/>
      <c r="I40" s="201"/>
      <c r="J40" s="201"/>
      <c r="K40" s="201"/>
      <c r="L40" s="201"/>
      <c r="M40" s="201"/>
      <c r="N40" s="201"/>
      <c r="O40" s="201"/>
      <c r="P40" s="47"/>
      <c r="R40" s="273"/>
      <c r="S40" s="69"/>
      <c r="T40" s="259"/>
      <c r="U40" s="259"/>
      <c r="V40" s="259"/>
      <c r="W40" s="259"/>
      <c r="X40" s="259"/>
      <c r="Y40" s="259"/>
      <c r="Z40" s="259"/>
      <c r="AA40" s="259"/>
      <c r="AB40" s="259"/>
      <c r="AC40" s="259"/>
      <c r="AD40" s="259"/>
      <c r="AE40" s="259"/>
      <c r="AF40" s="259"/>
      <c r="AG40" s="96"/>
    </row>
    <row r="41" spans="1:33" ht="5.25" customHeight="1" x14ac:dyDescent="0.25">
      <c r="A41" s="180"/>
      <c r="B41" s="15"/>
      <c r="C41" s="111"/>
      <c r="D41" s="111"/>
      <c r="E41" s="111"/>
      <c r="F41" s="111"/>
      <c r="G41" s="111"/>
      <c r="H41" s="111"/>
      <c r="I41" s="111"/>
      <c r="J41" s="111"/>
      <c r="K41" s="111"/>
      <c r="L41" s="111"/>
      <c r="M41" s="111"/>
      <c r="N41" s="111"/>
      <c r="O41" s="111"/>
      <c r="P41" s="48"/>
      <c r="R41" s="273"/>
      <c r="S41" s="65"/>
      <c r="T41" s="97"/>
      <c r="U41" s="97"/>
      <c r="V41" s="97"/>
      <c r="W41" s="97"/>
      <c r="X41" s="97"/>
      <c r="Y41" s="97"/>
      <c r="Z41" s="97"/>
      <c r="AA41" s="97"/>
      <c r="AB41" s="97"/>
      <c r="AC41" s="97"/>
      <c r="AD41" s="97"/>
      <c r="AE41" s="97"/>
      <c r="AF41" s="97"/>
      <c r="AG41" s="98"/>
    </row>
    <row r="42" spans="1:33" ht="12.75" customHeight="1" x14ac:dyDescent="0.25">
      <c r="A42" s="180"/>
      <c r="B42" s="15"/>
      <c r="C42" s="178" t="str">
        <f>VLOOKUP(29,Language!C3:AI68,Language!$B$2+1,FALSE)</f>
        <v>Reklamation anerkannt</v>
      </c>
      <c r="D42" s="178"/>
      <c r="E42" s="178"/>
      <c r="F42" s="49"/>
      <c r="G42" s="49"/>
      <c r="H42" s="202"/>
      <c r="I42" s="202"/>
      <c r="J42" s="202"/>
      <c r="K42" s="202"/>
      <c r="L42" s="202"/>
      <c r="M42" s="202"/>
      <c r="N42" s="202"/>
      <c r="O42" s="202"/>
      <c r="P42" s="48"/>
      <c r="R42" s="273"/>
      <c r="S42" s="65"/>
      <c r="T42" s="222" t="str">
        <f>VLOOKUP(29,Language!C3:AI68,Language!$B$2+1,FALSE)</f>
        <v>Reklamation anerkannt</v>
      </c>
      <c r="U42" s="222"/>
      <c r="V42" s="222"/>
      <c r="W42" s="99"/>
      <c r="X42" s="99"/>
      <c r="Y42" s="260"/>
      <c r="Z42" s="260"/>
      <c r="AA42" s="260"/>
      <c r="AB42" s="260"/>
      <c r="AC42" s="260"/>
      <c r="AD42" s="260"/>
      <c r="AE42" s="260"/>
      <c r="AF42" s="260"/>
      <c r="AG42" s="98"/>
    </row>
    <row r="43" spans="1:33" ht="18.75" customHeight="1" x14ac:dyDescent="0.25">
      <c r="A43" s="180"/>
      <c r="B43" s="15"/>
      <c r="C43" s="50"/>
      <c r="D43" s="6"/>
      <c r="E43" s="50"/>
      <c r="F43" s="49"/>
      <c r="G43" s="49"/>
      <c r="H43" s="111"/>
      <c r="I43" s="111"/>
      <c r="J43" s="111"/>
      <c r="K43" s="111"/>
      <c r="L43" s="111"/>
      <c r="M43" s="111"/>
      <c r="N43" s="111"/>
      <c r="O43" s="111"/>
      <c r="P43" s="48"/>
      <c r="R43" s="273"/>
      <c r="S43" s="65"/>
      <c r="T43" s="100"/>
      <c r="U43" s="101"/>
      <c r="V43" s="100"/>
      <c r="W43" s="249" t="str">
        <f>VLOOKUP(44,Language!C3:AI68,Language!$B$2+1,FALSE)</f>
        <v xml:space="preserve">Tragen Sie hier ein, ob Sie die Reklamation anerkennen oder ablehnen. Nutzen Sie dazu das Drop-down-Menü. </v>
      </c>
      <c r="X43" s="249"/>
      <c r="Y43" s="249"/>
      <c r="Z43" s="249"/>
      <c r="AA43" s="249"/>
      <c r="AB43" s="249"/>
      <c r="AC43" s="249"/>
      <c r="AD43" s="249"/>
      <c r="AE43" s="249"/>
      <c r="AF43" s="249"/>
      <c r="AG43" s="98"/>
    </row>
    <row r="44" spans="1:33" x14ac:dyDescent="0.25">
      <c r="A44" s="180"/>
      <c r="B44" s="15"/>
      <c r="C44" s="132" t="str">
        <f>VLOOKUP(30,Language!C3:AI68,Language!$B$2+1,FALSE)</f>
        <v>Begründung/ weitere Informationen</v>
      </c>
      <c r="D44" s="50"/>
      <c r="E44" s="50"/>
      <c r="F44" s="49"/>
      <c r="G44" s="49"/>
      <c r="H44" s="49"/>
      <c r="I44" s="49"/>
      <c r="J44" s="49"/>
      <c r="K44" s="49"/>
      <c r="L44" s="49"/>
      <c r="M44" s="49"/>
      <c r="N44" s="49"/>
      <c r="O44" s="49"/>
      <c r="P44" s="23"/>
      <c r="R44" s="273"/>
      <c r="S44" s="65"/>
      <c r="T44" s="67" t="str">
        <f>VLOOKUP(30,Language!C3:AI68,Language!$B$2+1,FALSE)</f>
        <v>Begründung/ weitere Informationen</v>
      </c>
      <c r="U44" s="100"/>
      <c r="V44" s="100"/>
      <c r="W44" s="99"/>
      <c r="X44" s="99"/>
      <c r="Y44" s="99"/>
      <c r="Z44" s="99"/>
      <c r="AA44" s="99"/>
      <c r="AB44" s="99"/>
      <c r="AC44" s="99"/>
      <c r="AD44" s="99"/>
      <c r="AE44" s="99"/>
      <c r="AF44" s="99"/>
      <c r="AG44" s="74"/>
    </row>
    <row r="45" spans="1:33" ht="28.5" customHeight="1" x14ac:dyDescent="0.25">
      <c r="A45" s="180"/>
      <c r="B45" s="15"/>
      <c r="C45" s="194"/>
      <c r="D45" s="195"/>
      <c r="E45" s="195"/>
      <c r="F45" s="195"/>
      <c r="G45" s="195"/>
      <c r="H45" s="195"/>
      <c r="I45" s="195"/>
      <c r="J45" s="195"/>
      <c r="K45" s="195"/>
      <c r="L45" s="195"/>
      <c r="M45" s="195"/>
      <c r="N45" s="195"/>
      <c r="O45" s="195"/>
      <c r="P45" s="23"/>
      <c r="R45" s="273"/>
      <c r="S45" s="65"/>
      <c r="T45" s="239" t="str">
        <f>VLOOKUP(45,Language!C3:AI68,Language!$B$2+1,FALSE)</f>
        <v>Falls nötig können hier weitere Informationen vermerkt und die Auswahl begründet werden.</v>
      </c>
      <c r="U45" s="240"/>
      <c r="V45" s="240"/>
      <c r="W45" s="240"/>
      <c r="X45" s="240"/>
      <c r="Y45" s="240"/>
      <c r="Z45" s="240"/>
      <c r="AA45" s="240"/>
      <c r="AB45" s="240"/>
      <c r="AC45" s="240"/>
      <c r="AD45" s="240"/>
      <c r="AE45" s="240"/>
      <c r="AF45" s="240"/>
      <c r="AG45" s="74"/>
    </row>
    <row r="46" spans="1:33" ht="4.5" customHeight="1" thickBot="1" x14ac:dyDescent="0.3">
      <c r="A46" s="51"/>
      <c r="B46" s="52"/>
      <c r="C46" s="52"/>
      <c r="D46" s="52"/>
      <c r="E46" s="52"/>
      <c r="F46" s="52"/>
      <c r="G46" s="52"/>
      <c r="H46" s="52"/>
      <c r="I46" s="52"/>
      <c r="J46" s="52"/>
      <c r="K46" s="52"/>
      <c r="L46" s="52"/>
      <c r="M46" s="52"/>
      <c r="N46" s="52"/>
      <c r="O46" s="52"/>
      <c r="P46" s="53"/>
      <c r="R46" s="102"/>
      <c r="S46" s="103"/>
      <c r="T46" s="103"/>
      <c r="U46" s="103"/>
      <c r="V46" s="103"/>
      <c r="W46" s="103"/>
      <c r="X46" s="103"/>
      <c r="Y46" s="103"/>
      <c r="Z46" s="103"/>
      <c r="AA46" s="103"/>
      <c r="AB46" s="103"/>
      <c r="AC46" s="103"/>
      <c r="AD46" s="103"/>
      <c r="AE46" s="103"/>
      <c r="AF46" s="103"/>
      <c r="AG46" s="104"/>
    </row>
    <row r="53" ht="15.75" customHeight="1" x14ac:dyDescent="0.25"/>
  </sheetData>
  <mergeCells count="83">
    <mergeCell ref="A2:L3"/>
    <mergeCell ref="M2:N2"/>
    <mergeCell ref="AE2:AG3"/>
    <mergeCell ref="T40:AF40"/>
    <mergeCell ref="T42:V42"/>
    <mergeCell ref="Y42:AF42"/>
    <mergeCell ref="C26:N26"/>
    <mergeCell ref="C27:N27"/>
    <mergeCell ref="C28:N28"/>
    <mergeCell ref="R4:AA5"/>
    <mergeCell ref="AC4:AF4"/>
    <mergeCell ref="AC5:AF5"/>
    <mergeCell ref="R6:R45"/>
    <mergeCell ref="S7:AB20"/>
    <mergeCell ref="T22:AF22"/>
    <mergeCell ref="U34:AF34"/>
    <mergeCell ref="U35:AF35"/>
    <mergeCell ref="T45:AF45"/>
    <mergeCell ref="U37:AC37"/>
    <mergeCell ref="AD37:AE37"/>
    <mergeCell ref="U38:AC38"/>
    <mergeCell ref="AD38:AE38"/>
    <mergeCell ref="U39:AC39"/>
    <mergeCell ref="AD39:AE39"/>
    <mergeCell ref="W43:AF43"/>
    <mergeCell ref="U36:AF36"/>
    <mergeCell ref="T25:AC25"/>
    <mergeCell ref="T26:AE31"/>
    <mergeCell ref="AF26:AF31"/>
    <mergeCell ref="AC8:AD20"/>
    <mergeCell ref="AE8:AF20"/>
    <mergeCell ref="AC7:AD7"/>
    <mergeCell ref="AE7:AF7"/>
    <mergeCell ref="C29:N29"/>
    <mergeCell ref="C30:N30"/>
    <mergeCell ref="C31:N31"/>
    <mergeCell ref="C25:L25"/>
    <mergeCell ref="C18:F18"/>
    <mergeCell ref="H18:J18"/>
    <mergeCell ref="C8:F8"/>
    <mergeCell ref="H8:J8"/>
    <mergeCell ref="C22:O22"/>
    <mergeCell ref="H9:J9"/>
    <mergeCell ref="C10:F10"/>
    <mergeCell ref="H10:J10"/>
    <mergeCell ref="C14:F14"/>
    <mergeCell ref="H14:J14"/>
    <mergeCell ref="C45:O45"/>
    <mergeCell ref="C19:F19"/>
    <mergeCell ref="C20:F20"/>
    <mergeCell ref="H19:J19"/>
    <mergeCell ref="H20:J20"/>
    <mergeCell ref="C40:O40"/>
    <mergeCell ref="C42:E42"/>
    <mergeCell ref="H42:O42"/>
    <mergeCell ref="D38:L38"/>
    <mergeCell ref="M38:N38"/>
    <mergeCell ref="D39:L39"/>
    <mergeCell ref="M39:N39"/>
    <mergeCell ref="D36:O36"/>
    <mergeCell ref="D37:L37"/>
    <mergeCell ref="M37:N37"/>
    <mergeCell ref="C9:F9"/>
    <mergeCell ref="L8:M20"/>
    <mergeCell ref="H13:J13"/>
    <mergeCell ref="N8:O20"/>
    <mergeCell ref="D35:O35"/>
    <mergeCell ref="R2:AD3"/>
    <mergeCell ref="A4:J5"/>
    <mergeCell ref="L4:O4"/>
    <mergeCell ref="L5:O5"/>
    <mergeCell ref="C11:F11"/>
    <mergeCell ref="H11:J11"/>
    <mergeCell ref="A6:A45"/>
    <mergeCell ref="C7:F7"/>
    <mergeCell ref="H7:J7"/>
    <mergeCell ref="C12:F12"/>
    <mergeCell ref="H12:J12"/>
    <mergeCell ref="C13:F13"/>
    <mergeCell ref="L7:M7"/>
    <mergeCell ref="N7:O7"/>
    <mergeCell ref="C17:F17"/>
    <mergeCell ref="H17:J17"/>
  </mergeCells>
  <conditionalFormatting sqref="D38">
    <cfRule type="cellIs" dxfId="41" priority="8" operator="equal">
      <formula>"Welche Maßnahmen wurde eingeführt, um ein erneutes Auftreten zu verhindern?"</formula>
    </cfRule>
    <cfRule type="cellIs" dxfId="40" priority="10" operator="equal">
      <formula>"Welche Maßnahme wurde eingeführt, um ein erneutes Auftreten zu verhindern?"</formula>
    </cfRule>
  </conditionalFormatting>
  <conditionalFormatting sqref="F42:G44 F44:P44">
    <cfRule type="cellIs" dxfId="39" priority="9" operator="equal">
      <formula>"(Falls nötig können hier weitere Informationen vermerkt werden)"</formula>
    </cfRule>
  </conditionalFormatting>
  <conditionalFormatting sqref="P45 F42:G43">
    <cfRule type="cellIs" dxfId="38" priority="7" operator="equal">
      <formula>"(Falls nötig können hier weitere Informationen vermerkt werden)"</formula>
    </cfRule>
  </conditionalFormatting>
  <conditionalFormatting sqref="D39">
    <cfRule type="cellIs" dxfId="37" priority="6" operator="equal">
      <formula>"Welche Maßnahmen wurde eingeführt, damit das Problem immer entdeckt wird?"</formula>
    </cfRule>
  </conditionalFormatting>
  <conditionalFormatting sqref="U38">
    <cfRule type="cellIs" dxfId="36" priority="3" operator="equal">
      <formula>"Welche Maßnahmen wurde eingeführt, um ein erneutes Auftreten zu verhindern?"</formula>
    </cfRule>
    <cfRule type="cellIs" dxfId="35" priority="5" operator="equal">
      <formula>"Welche Maßnahme wurde eingeführt, um ein erneutes Auftreten zu verhindern?"</formula>
    </cfRule>
  </conditionalFormatting>
  <conditionalFormatting sqref="W42:X42 W44:X44 W43">
    <cfRule type="cellIs" dxfId="34" priority="4" operator="equal">
      <formula>"(Falls nötig können hier weitere Informationen vermerkt werden)"</formula>
    </cfRule>
  </conditionalFormatting>
  <conditionalFormatting sqref="W44:AG44 AG45 W42:X42 W43">
    <cfRule type="cellIs" dxfId="33" priority="2" operator="equal">
      <formula>"(Falls nötig können hier weitere Informationen vermerkt werden)"</formula>
    </cfRule>
  </conditionalFormatting>
  <conditionalFormatting sqref="U39">
    <cfRule type="cellIs" dxfId="32" priority="1" operator="equal">
      <formula>"Welche Maßnahmen wurde eingeführt, damit das Problem immer entdeckt wird?"</formula>
    </cfRule>
  </conditionalFormatting>
  <dataValidations count="1">
    <dataValidation type="list" allowBlank="1" showInputMessage="1" showErrorMessage="1" sqref="U43" xr:uid="{ED75A2D4-34D2-429B-B00C-99E2F2736809}">
      <formula1>"Ja,Nein"</formula1>
    </dataValidation>
  </dataValidations>
  <pageMargins left="0.70866141732283472" right="0.70866141732283472" top="0.78740157480314965" bottom="0.78740157480314965" header="0.31496062992125984" footer="0.51181102362204722"/>
  <pageSetup paperSize="9" scale="58" fitToWidth="2" orientation="portrait" r:id="rId1"/>
  <headerFooter>
    <oddFooter>&amp;LErstellt: Pliet
Geprüft: Große Kintrup&amp;CFreigegeben: Große Kintrup&amp;RFOR-22-001-V02
gültig ab 01.04.2023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0" r:id="rId4" name="Drop Down 6">
              <controlPr defaultSize="0" autoLine="0" autoPict="0">
                <anchor moveWithCells="1">
                  <from>
                    <xdr:col>14</xdr:col>
                    <xdr:colOff>57150</xdr:colOff>
                    <xdr:row>0</xdr:row>
                    <xdr:rowOff>152400</xdr:rowOff>
                  </from>
                  <to>
                    <xdr:col>14</xdr:col>
                    <xdr:colOff>981075</xdr:colOff>
                    <xdr:row>1</xdr:row>
                    <xdr:rowOff>209550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1D21B5DF-6A40-4B56-A408-E8E0325C644B}">
          <x14:formula1>
            <xm:f>Language!$A$8:$A$9</xm:f>
          </x14:formula1>
          <xm:sqref>D43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8AB41-E0F7-4217-89B5-0B6F6BE47549}">
  <sheetPr codeName="Tabelle2">
    <tabColor rgb="FF0070C0"/>
  </sheetPr>
  <dimension ref="A1:AG53"/>
  <sheetViews>
    <sheetView view="pageLayout" zoomScale="90" zoomScaleNormal="115" zoomScalePageLayoutView="90" workbookViewId="0">
      <selection activeCell="D43" sqref="D43"/>
    </sheetView>
  </sheetViews>
  <sheetFormatPr baseColWidth="10" defaultColWidth="0" defaultRowHeight="15" x14ac:dyDescent="0.25"/>
  <cols>
    <col min="1" max="1" width="4.5703125" style="1" customWidth="1"/>
    <col min="2" max="2" width="0.7109375" style="1" customWidth="1"/>
    <col min="3" max="3" width="3.7109375" style="1" customWidth="1"/>
    <col min="4" max="5" width="11.85546875" style="1" customWidth="1"/>
    <col min="6" max="6" width="9.7109375" style="1" customWidth="1"/>
    <col min="7" max="7" width="3" style="1" customWidth="1"/>
    <col min="8" max="8" width="8.5703125" style="1" customWidth="1"/>
    <col min="9" max="9" width="9.7109375" style="1" customWidth="1"/>
    <col min="10" max="10" width="11.42578125" style="1" customWidth="1"/>
    <col min="11" max="11" width="1" style="1" customWidth="1"/>
    <col min="12" max="12" width="4" style="1" customWidth="1"/>
    <col min="13" max="13" width="32.28515625" style="1" customWidth="1"/>
    <col min="14" max="14" width="12.42578125" style="1" customWidth="1"/>
    <col min="15" max="15" width="23.5703125" style="1" customWidth="1"/>
    <col min="16" max="16" width="1.28515625" style="1" customWidth="1"/>
    <col min="17" max="17" width="0.5703125" style="1" customWidth="1"/>
    <col min="18" max="18" width="2.5703125" style="1" customWidth="1"/>
    <col min="19" max="19" width="0.7109375" style="1" customWidth="1"/>
    <col min="20" max="20" width="3.28515625" style="1" customWidth="1"/>
    <col min="21" max="22" width="11.7109375" style="1" customWidth="1"/>
    <col min="23" max="23" width="9.5703125" style="1" customWidth="1"/>
    <col min="24" max="24" width="1.7109375" style="1" customWidth="1"/>
    <col min="25" max="25" width="8.5703125" style="1" customWidth="1"/>
    <col min="26" max="26" width="9.7109375" style="1" customWidth="1"/>
    <col min="27" max="27" width="11.42578125" style="1" customWidth="1"/>
    <col min="28" max="28" width="0.5703125" style="1" customWidth="1"/>
    <col min="29" max="29" width="4.28515625" style="1" customWidth="1"/>
    <col min="30" max="30" width="28.5703125" style="1" customWidth="1"/>
    <col min="31" max="31" width="14.85546875" style="1" customWidth="1"/>
    <col min="32" max="32" width="18.42578125" style="1" customWidth="1"/>
    <col min="33" max="33" width="0.7109375" style="1" customWidth="1"/>
    <col min="34" max="34" width="0.28515625" style="1" customWidth="1"/>
    <col min="35" max="16381" width="0" style="1" hidden="1"/>
    <col min="16382" max="16383" width="0.5703125" style="1" customWidth="1"/>
    <col min="16384" max="16384" width="1.85546875" style="1" customWidth="1"/>
  </cols>
  <sheetData>
    <row r="1" spans="1:33" s="2" customFormat="1" x14ac:dyDescent="0.25"/>
    <row r="2" spans="1:33" ht="25.5" customHeight="1" x14ac:dyDescent="0.25">
      <c r="A2" s="302"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B2" s="302"/>
      <c r="C2" s="302"/>
      <c r="D2" s="302"/>
      <c r="E2" s="302"/>
      <c r="F2" s="302"/>
      <c r="G2" s="302"/>
      <c r="H2" s="302"/>
      <c r="I2" s="302"/>
      <c r="J2" s="302"/>
      <c r="K2" s="302"/>
      <c r="L2" s="302"/>
      <c r="M2" s="304" t="str">
        <f>VLOOKUP(98,Language!C3:AI200,Language!$B$2+1,FALSE)</f>
        <v>Sprache/ Language/ Jazyk:</v>
      </c>
      <c r="N2" s="304"/>
      <c r="O2" s="138"/>
      <c r="P2" s="4"/>
      <c r="R2" s="162"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S2" s="163"/>
      <c r="T2" s="163"/>
      <c r="U2" s="163"/>
      <c r="V2" s="163"/>
      <c r="W2" s="163"/>
      <c r="X2" s="163"/>
      <c r="Y2" s="163"/>
      <c r="Z2" s="163"/>
      <c r="AA2" s="163"/>
      <c r="AB2" s="163"/>
      <c r="AC2" s="163"/>
      <c r="AD2" s="163"/>
      <c r="AE2" s="254"/>
      <c r="AF2" s="254"/>
      <c r="AG2" s="4"/>
    </row>
    <row r="3" spans="1:33" ht="32.25" customHeight="1" thickBot="1" x14ac:dyDescent="0.3">
      <c r="A3" s="303"/>
      <c r="B3" s="303"/>
      <c r="C3" s="303"/>
      <c r="D3" s="303"/>
      <c r="E3" s="303"/>
      <c r="F3" s="303"/>
      <c r="G3" s="303"/>
      <c r="H3" s="303"/>
      <c r="I3" s="303"/>
      <c r="J3" s="303"/>
      <c r="K3" s="303"/>
      <c r="L3" s="303"/>
      <c r="M3" s="141"/>
      <c r="N3" s="139"/>
      <c r="O3" s="139"/>
      <c r="P3" s="4"/>
      <c r="R3" s="164"/>
      <c r="S3" s="165"/>
      <c r="T3" s="165"/>
      <c r="U3" s="165"/>
      <c r="V3" s="165"/>
      <c r="W3" s="165"/>
      <c r="X3" s="165"/>
      <c r="Y3" s="165"/>
      <c r="Z3" s="165"/>
      <c r="AA3" s="165"/>
      <c r="AB3" s="165"/>
      <c r="AC3" s="165"/>
      <c r="AD3" s="165"/>
      <c r="AE3" s="301"/>
      <c r="AF3" s="301"/>
      <c r="AG3" s="4"/>
    </row>
    <row r="4" spans="1:33" ht="18.75" customHeight="1" x14ac:dyDescent="0.25">
      <c r="A4" s="166" t="str">
        <f>VLOOKUP(2,Language!C3:AI68,Language!$B$2+1,FALSE)</f>
        <v xml:space="preserve"> Lieferanten WH-A4 Problemlösungsformular</v>
      </c>
      <c r="B4" s="167"/>
      <c r="C4" s="168"/>
      <c r="D4" s="168"/>
      <c r="E4" s="168"/>
      <c r="F4" s="168"/>
      <c r="G4" s="168"/>
      <c r="H4" s="168"/>
      <c r="I4" s="168"/>
      <c r="J4" s="169"/>
      <c r="K4" s="7"/>
      <c r="L4" s="173" t="str">
        <f>VLOOKUP(3,Language!C3:AI68,Language!$B$2+1,FALSE)</f>
        <v>Mängelbericht Nr.</v>
      </c>
      <c r="M4" s="173"/>
      <c r="N4" s="173"/>
      <c r="O4" s="174"/>
      <c r="P4" s="8"/>
      <c r="R4" s="261" t="str">
        <f>VLOOKUP(2,Language!C3:AI68,Language!$B$2+1,FALSE)</f>
        <v xml:space="preserve"> Lieferanten WH-A4 Problemlösungsformular</v>
      </c>
      <c r="S4" s="262"/>
      <c r="T4" s="262"/>
      <c r="U4" s="262"/>
      <c r="V4" s="262"/>
      <c r="W4" s="262"/>
      <c r="X4" s="262"/>
      <c r="Y4" s="262"/>
      <c r="Z4" s="262"/>
      <c r="AA4" s="263"/>
      <c r="AB4" s="58"/>
      <c r="AC4" s="267" t="str">
        <f>VLOOKUP(3,Language!C3:AI68,Language!$B$2+1,FALSE)</f>
        <v>Mängelbericht Nr.</v>
      </c>
      <c r="AD4" s="267"/>
      <c r="AE4" s="268"/>
      <c r="AF4" s="268"/>
      <c r="AG4" s="59"/>
    </row>
    <row r="5" spans="1:33" ht="27" customHeight="1" thickBot="1" x14ac:dyDescent="0.3">
      <c r="A5" s="170"/>
      <c r="B5" s="171"/>
      <c r="C5" s="171"/>
      <c r="D5" s="171"/>
      <c r="E5" s="171"/>
      <c r="F5" s="171"/>
      <c r="G5" s="171"/>
      <c r="H5" s="171"/>
      <c r="I5" s="171"/>
      <c r="J5" s="172"/>
      <c r="K5" s="10"/>
      <c r="L5" s="299">
        <v>220153022</v>
      </c>
      <c r="M5" s="299"/>
      <c r="N5" s="299"/>
      <c r="O5" s="300"/>
      <c r="P5" s="9"/>
      <c r="R5" s="264"/>
      <c r="S5" s="265"/>
      <c r="T5" s="265"/>
      <c r="U5" s="265"/>
      <c r="V5" s="265"/>
      <c r="W5" s="265"/>
      <c r="X5" s="265"/>
      <c r="Y5" s="265"/>
      <c r="Z5" s="265"/>
      <c r="AA5" s="266"/>
      <c r="AB5" s="60"/>
      <c r="AC5" s="269" t="str">
        <f>VLOOKUP(31,Language!C3:AI68,Language!$B$2+1,FALSE)</f>
        <v>Hier Mängelberichtsnummer aus dem W&amp;H Mängelbericht eintragen.</v>
      </c>
      <c r="AD5" s="270"/>
      <c r="AE5" s="270"/>
      <c r="AF5" s="271"/>
      <c r="AG5" s="61"/>
    </row>
    <row r="6" spans="1:33" ht="5.25" customHeight="1" x14ac:dyDescent="0.25">
      <c r="A6" s="179" t="str">
        <f>VLOOKUP(23,Language!C3:AI68,Language!$B$2+1,FALSE)</f>
        <v>Lieferant</v>
      </c>
      <c r="B6" s="7"/>
      <c r="C6" s="7"/>
      <c r="D6" s="7"/>
      <c r="E6" s="7"/>
      <c r="F6" s="7"/>
      <c r="G6" s="7"/>
      <c r="H6" s="7"/>
      <c r="I6" s="7"/>
      <c r="J6" s="7"/>
      <c r="K6" s="7"/>
      <c r="L6" s="11"/>
      <c r="M6" s="11"/>
      <c r="N6" s="11"/>
      <c r="O6" s="7"/>
      <c r="P6" s="12"/>
      <c r="R6" s="272" t="str">
        <f>VLOOKUP(23,Language!C3:AI68,Language!$B$2+1,FALSE)</f>
        <v>Lieferant</v>
      </c>
      <c r="S6" s="58"/>
      <c r="T6" s="58"/>
      <c r="U6" s="58"/>
      <c r="V6" s="58"/>
      <c r="W6" s="58"/>
      <c r="X6" s="58"/>
      <c r="Y6" s="58"/>
      <c r="Z6" s="58"/>
      <c r="AA6" s="58"/>
      <c r="AB6" s="58"/>
      <c r="AC6" s="62"/>
      <c r="AD6" s="62"/>
      <c r="AE6" s="62"/>
      <c r="AF6" s="58"/>
      <c r="AG6" s="63"/>
    </row>
    <row r="7" spans="1:33" ht="16.5" customHeight="1" x14ac:dyDescent="0.25">
      <c r="A7" s="180"/>
      <c r="B7" s="13"/>
      <c r="C7" s="181" t="str">
        <f>VLOOKUP(4,Language!C3:AI68,Language!$B$2+1,FALSE)</f>
        <v>Firmenname</v>
      </c>
      <c r="D7" s="181"/>
      <c r="E7" s="181"/>
      <c r="F7" s="181"/>
      <c r="G7" s="132"/>
      <c r="H7" s="178" t="str">
        <f>VLOOKUP(5,Language!C3:AI68,Language!$B$2+1,FALSE)</f>
        <v>Datum</v>
      </c>
      <c r="I7" s="178"/>
      <c r="J7" s="178"/>
      <c r="K7" s="3"/>
      <c r="L7" s="183" t="str">
        <f>VLOOKUP(11,Language!C3:AI68,Language!$B$2+1,FALSE)</f>
        <v>IST (Foto)</v>
      </c>
      <c r="M7" s="184"/>
      <c r="N7" s="183" t="str">
        <f>VLOOKUP(12,Language!C3:AI68,Language!$B$2+1,FALSE)</f>
        <v>SOLL (Foto)</v>
      </c>
      <c r="O7" s="184"/>
      <c r="P7" s="14"/>
      <c r="R7" s="273"/>
      <c r="S7" s="274" t="str">
        <f>VLOOKUP(32,Language!C3:AI68,Language!$B$2+1,FALSE)</f>
        <v>Kopfdaten WH-A4 Formular:
Alle weißen Felder müssen vollständig ausgefüllt werden.
Im nebenstehenden linken Feld ist ein Foto von der Ist-Situation (Bauteil mit Problem) einzutragen.
Im nebenstehenden rechten Feld ist ein Foto von der Soll-Situation (Bauteil ohne Problem) einzutragen.
Es reicht aus, wenn nur der vom Problem betroffene Bereich fotografiert wird.</v>
      </c>
      <c r="T7" s="275"/>
      <c r="U7" s="275"/>
      <c r="V7" s="275"/>
      <c r="W7" s="275"/>
      <c r="X7" s="275"/>
      <c r="Y7" s="275"/>
      <c r="Z7" s="275"/>
      <c r="AA7" s="275"/>
      <c r="AB7" s="275"/>
      <c r="AC7" s="214" t="str">
        <f>VLOOKUP(11,Language!C3:AI68,Language!$B$2+1,FALSE)</f>
        <v>IST (Foto)</v>
      </c>
      <c r="AD7" s="215"/>
      <c r="AE7" s="214" t="str">
        <f>VLOOKUP(12,Language!C3:AI68,Language!$B$2+1,FALSE)</f>
        <v>SOLL (Foto)</v>
      </c>
      <c r="AF7" s="215"/>
      <c r="AG7" s="64"/>
    </row>
    <row r="8" spans="1:33" s="2" customFormat="1" ht="16.5" customHeight="1" x14ac:dyDescent="0.25">
      <c r="A8" s="180"/>
      <c r="B8" s="15"/>
      <c r="C8" s="283" t="str">
        <f>VLOOKUP(46,Language!C3:AI68,Language!$B$2+1,FALSE)</f>
        <v>Mustermann GmbH</v>
      </c>
      <c r="D8" s="283"/>
      <c r="E8" s="283"/>
      <c r="F8" s="283"/>
      <c r="G8" s="108"/>
      <c r="H8" s="295">
        <f>VLOOKUP(47,Language!C3:AI68,Language!$B$2+1,FALSE)</f>
        <v>40863</v>
      </c>
      <c r="I8" s="294"/>
      <c r="J8" s="294"/>
      <c r="K8" s="3"/>
      <c r="L8" s="281"/>
      <c r="M8" s="282"/>
      <c r="N8" s="279"/>
      <c r="O8" s="280"/>
      <c r="P8" s="16"/>
      <c r="R8" s="273"/>
      <c r="S8" s="274"/>
      <c r="T8" s="275"/>
      <c r="U8" s="275"/>
      <c r="V8" s="275"/>
      <c r="W8" s="275"/>
      <c r="X8" s="275"/>
      <c r="Y8" s="275"/>
      <c r="Z8" s="275"/>
      <c r="AA8" s="275"/>
      <c r="AB8" s="276"/>
      <c r="AC8" s="235"/>
      <c r="AD8" s="236"/>
      <c r="AE8" s="237"/>
      <c r="AF8" s="236"/>
      <c r="AG8" s="66"/>
    </row>
    <row r="9" spans="1:33" ht="16.5" customHeight="1" x14ac:dyDescent="0.25">
      <c r="A9" s="180"/>
      <c r="B9" s="15"/>
      <c r="C9" s="177" t="str">
        <f>VLOOKUP(6,Language!C3:AI68,Language!$B$2+1,FALSE)</f>
        <v>Materialbezeichnung</v>
      </c>
      <c r="D9" s="177"/>
      <c r="E9" s="177"/>
      <c r="F9" s="177"/>
      <c r="G9" s="133"/>
      <c r="H9" s="219" t="str">
        <f>VLOOKUP(7,Language!C3:AI68,Language!$B$2+1,FALSE)</f>
        <v>W&amp;H Materialnummer</v>
      </c>
      <c r="I9" s="178"/>
      <c r="J9" s="178"/>
      <c r="K9" s="17"/>
      <c r="L9" s="282"/>
      <c r="M9" s="282"/>
      <c r="N9" s="280"/>
      <c r="O9" s="280"/>
      <c r="P9" s="16"/>
      <c r="R9" s="273"/>
      <c r="S9" s="274"/>
      <c r="T9" s="275"/>
      <c r="U9" s="275"/>
      <c r="V9" s="275"/>
      <c r="W9" s="275"/>
      <c r="X9" s="275"/>
      <c r="Y9" s="275"/>
      <c r="Z9" s="275"/>
      <c r="AA9" s="275"/>
      <c r="AB9" s="276"/>
      <c r="AC9" s="236"/>
      <c r="AD9" s="236"/>
      <c r="AE9" s="236"/>
      <c r="AF9" s="236"/>
      <c r="AG9" s="66"/>
    </row>
    <row r="10" spans="1:33" ht="16.5" customHeight="1" x14ac:dyDescent="0.25">
      <c r="A10" s="180"/>
      <c r="B10" s="15"/>
      <c r="C10" s="294" t="str">
        <f>VLOOKUP(48,Language!C3:AI68,Language!$B$2+1,FALSE)</f>
        <v>Halter</v>
      </c>
      <c r="D10" s="294"/>
      <c r="E10" s="294"/>
      <c r="F10" s="294"/>
      <c r="G10" s="108"/>
      <c r="H10" s="220">
        <v>30204023</v>
      </c>
      <c r="I10" s="294"/>
      <c r="J10" s="294"/>
      <c r="K10" s="18"/>
      <c r="L10" s="282"/>
      <c r="M10" s="282"/>
      <c r="N10" s="280"/>
      <c r="O10" s="280"/>
      <c r="P10" s="16"/>
      <c r="R10" s="273"/>
      <c r="S10" s="274"/>
      <c r="T10" s="275"/>
      <c r="U10" s="275"/>
      <c r="V10" s="275"/>
      <c r="W10" s="275"/>
      <c r="X10" s="275"/>
      <c r="Y10" s="275"/>
      <c r="Z10" s="275"/>
      <c r="AA10" s="275"/>
      <c r="AB10" s="276"/>
      <c r="AC10" s="236"/>
      <c r="AD10" s="236"/>
      <c r="AE10" s="236"/>
      <c r="AF10" s="236"/>
      <c r="AG10" s="66"/>
    </row>
    <row r="11" spans="1:33" s="2" customFormat="1" ht="16.5" customHeight="1" x14ac:dyDescent="0.25">
      <c r="A11" s="180"/>
      <c r="B11" s="15"/>
      <c r="C11" s="177" t="str">
        <f>VLOOKUP(8,Language!C3:AI68,Language!$B$2+1,FALSE)</f>
        <v>gelieferte Menge</v>
      </c>
      <c r="D11" s="177"/>
      <c r="E11" s="177"/>
      <c r="F11" s="177"/>
      <c r="G11" s="132"/>
      <c r="H11" s="178" t="str">
        <f>VLOOKUP(9,Language!C3:AI68,Language!$B$2+1,FALSE)</f>
        <v>reklamierte Menge</v>
      </c>
      <c r="I11" s="178"/>
      <c r="J11" s="178"/>
      <c r="K11" s="3"/>
      <c r="L11" s="282"/>
      <c r="M11" s="282"/>
      <c r="N11" s="280"/>
      <c r="O11" s="280"/>
      <c r="P11" s="16"/>
      <c r="R11" s="273"/>
      <c r="S11" s="274"/>
      <c r="T11" s="275"/>
      <c r="U11" s="275"/>
      <c r="V11" s="275"/>
      <c r="W11" s="275"/>
      <c r="X11" s="275"/>
      <c r="Y11" s="275"/>
      <c r="Z11" s="275"/>
      <c r="AA11" s="275"/>
      <c r="AB11" s="276"/>
      <c r="AC11" s="236"/>
      <c r="AD11" s="236"/>
      <c r="AE11" s="236"/>
      <c r="AF11" s="236"/>
      <c r="AG11" s="66"/>
    </row>
    <row r="12" spans="1:33" ht="16.5" customHeight="1" x14ac:dyDescent="0.25">
      <c r="A12" s="180"/>
      <c r="B12" s="15"/>
      <c r="C12" s="182">
        <v>12</v>
      </c>
      <c r="D12" s="294"/>
      <c r="E12" s="294"/>
      <c r="F12" s="294"/>
      <c r="G12" s="112"/>
      <c r="H12" s="294">
        <v>10</v>
      </c>
      <c r="I12" s="294"/>
      <c r="J12" s="294"/>
      <c r="K12" s="17"/>
      <c r="L12" s="282"/>
      <c r="M12" s="282"/>
      <c r="N12" s="280"/>
      <c r="O12" s="280"/>
      <c r="P12" s="16"/>
      <c r="R12" s="273"/>
      <c r="S12" s="274"/>
      <c r="T12" s="275"/>
      <c r="U12" s="275"/>
      <c r="V12" s="275"/>
      <c r="W12" s="275"/>
      <c r="X12" s="275"/>
      <c r="Y12" s="275"/>
      <c r="Z12" s="275"/>
      <c r="AA12" s="275"/>
      <c r="AB12" s="276"/>
      <c r="AC12" s="236"/>
      <c r="AD12" s="236"/>
      <c r="AE12" s="236"/>
      <c r="AF12" s="236"/>
      <c r="AG12" s="66"/>
    </row>
    <row r="13" spans="1:33" ht="16.5" customHeight="1" x14ac:dyDescent="0.25">
      <c r="A13" s="180"/>
      <c r="B13" s="15"/>
      <c r="C13" s="177" t="str">
        <f>VLOOKUP(10,Language!C3:AI68,Language!$B$2+1,FALSE)</f>
        <v>Produktionsdatum / Zeitraum</v>
      </c>
      <c r="D13" s="177"/>
      <c r="E13" s="177"/>
      <c r="F13" s="177"/>
      <c r="G13" s="112"/>
      <c r="H13" s="188"/>
      <c r="I13" s="188"/>
      <c r="J13" s="188"/>
      <c r="K13" s="17"/>
      <c r="L13" s="282"/>
      <c r="M13" s="282"/>
      <c r="N13" s="280"/>
      <c r="O13" s="280"/>
      <c r="P13" s="16"/>
      <c r="R13" s="273"/>
      <c r="S13" s="274"/>
      <c r="T13" s="275"/>
      <c r="U13" s="275"/>
      <c r="V13" s="275"/>
      <c r="W13" s="275"/>
      <c r="X13" s="275"/>
      <c r="Y13" s="275"/>
      <c r="Z13" s="275"/>
      <c r="AA13" s="275"/>
      <c r="AB13" s="276"/>
      <c r="AC13" s="236"/>
      <c r="AD13" s="236"/>
      <c r="AE13" s="236"/>
      <c r="AF13" s="236"/>
      <c r="AG13" s="66"/>
    </row>
    <row r="14" spans="1:33" ht="16.5" customHeight="1" x14ac:dyDescent="0.25">
      <c r="A14" s="180"/>
      <c r="B14" s="15"/>
      <c r="C14" s="217" t="str">
        <f>VLOOKUP(49,Language!C3:AI68,Language!$B$2+1,FALSE)</f>
        <v>11.10.2021 - 15.10.2021</v>
      </c>
      <c r="D14" s="294"/>
      <c r="E14" s="294"/>
      <c r="F14" s="294"/>
      <c r="G14" s="112"/>
      <c r="H14" s="221"/>
      <c r="I14" s="188"/>
      <c r="J14" s="188"/>
      <c r="K14" s="19"/>
      <c r="L14" s="282"/>
      <c r="M14" s="282"/>
      <c r="N14" s="280"/>
      <c r="O14" s="280"/>
      <c r="P14" s="16"/>
      <c r="R14" s="273"/>
      <c r="S14" s="274"/>
      <c r="T14" s="275"/>
      <c r="U14" s="275"/>
      <c r="V14" s="275"/>
      <c r="W14" s="275"/>
      <c r="X14" s="275"/>
      <c r="Y14" s="275"/>
      <c r="Z14" s="275"/>
      <c r="AA14" s="275"/>
      <c r="AB14" s="276"/>
      <c r="AC14" s="236"/>
      <c r="AD14" s="236"/>
      <c r="AE14" s="236"/>
      <c r="AF14" s="236"/>
      <c r="AG14" s="66"/>
    </row>
    <row r="15" spans="1:33" ht="4.5" customHeight="1" x14ac:dyDescent="0.25">
      <c r="A15" s="180"/>
      <c r="B15" s="15"/>
      <c r="C15" s="110"/>
      <c r="D15" s="110"/>
      <c r="E15" s="110"/>
      <c r="F15" s="110"/>
      <c r="G15" s="110"/>
      <c r="H15" s="110"/>
      <c r="I15" s="108"/>
      <c r="J15" s="108"/>
      <c r="K15" s="19"/>
      <c r="L15" s="282"/>
      <c r="M15" s="282"/>
      <c r="N15" s="280"/>
      <c r="O15" s="280"/>
      <c r="P15" s="16"/>
      <c r="R15" s="273"/>
      <c r="S15" s="274"/>
      <c r="T15" s="275"/>
      <c r="U15" s="275"/>
      <c r="V15" s="275"/>
      <c r="W15" s="275"/>
      <c r="X15" s="275"/>
      <c r="Y15" s="275"/>
      <c r="Z15" s="275"/>
      <c r="AA15" s="275"/>
      <c r="AB15" s="276"/>
      <c r="AC15" s="236"/>
      <c r="AD15" s="236"/>
      <c r="AE15" s="236"/>
      <c r="AF15" s="236"/>
      <c r="AG15" s="66"/>
    </row>
    <row r="16" spans="1:33" ht="4.5" customHeight="1" thickBot="1" x14ac:dyDescent="0.3">
      <c r="A16" s="180"/>
      <c r="B16" s="24"/>
      <c r="C16" s="25"/>
      <c r="D16" s="25"/>
      <c r="E16" s="25"/>
      <c r="F16" s="25"/>
      <c r="G16" s="25"/>
      <c r="H16" s="25"/>
      <c r="I16" s="54"/>
      <c r="J16" s="54"/>
      <c r="K16" s="55"/>
      <c r="L16" s="282"/>
      <c r="M16" s="282"/>
      <c r="N16" s="280"/>
      <c r="O16" s="280"/>
      <c r="P16" s="16"/>
      <c r="R16" s="273"/>
      <c r="S16" s="274"/>
      <c r="T16" s="275"/>
      <c r="U16" s="275"/>
      <c r="V16" s="275"/>
      <c r="W16" s="275"/>
      <c r="X16" s="275"/>
      <c r="Y16" s="275"/>
      <c r="Z16" s="275"/>
      <c r="AA16" s="275"/>
      <c r="AB16" s="276"/>
      <c r="AC16" s="236"/>
      <c r="AD16" s="236"/>
      <c r="AE16" s="236"/>
      <c r="AF16" s="236"/>
      <c r="AG16" s="66"/>
    </row>
    <row r="17" spans="1:33" ht="16.5" customHeight="1" x14ac:dyDescent="0.25">
      <c r="A17" s="180"/>
      <c r="B17" s="15"/>
      <c r="C17" s="185" t="str">
        <f>VLOOKUP(13,Language!C3:AI68,Language!$B$2+1,FALSE)</f>
        <v>Name, Vorname Ansprechpartner</v>
      </c>
      <c r="D17" s="178"/>
      <c r="E17" s="178"/>
      <c r="F17" s="178"/>
      <c r="G17" s="133"/>
      <c r="H17" s="178" t="str">
        <f>VLOOKUP(14,Language!C3:AI68,Language!$B$2+1,FALSE)</f>
        <v>Abteilung</v>
      </c>
      <c r="I17" s="178"/>
      <c r="J17" s="178"/>
      <c r="K17" s="19"/>
      <c r="L17" s="282"/>
      <c r="M17" s="282"/>
      <c r="N17" s="280"/>
      <c r="O17" s="280"/>
      <c r="P17" s="16"/>
      <c r="R17" s="273"/>
      <c r="S17" s="274"/>
      <c r="T17" s="275"/>
      <c r="U17" s="275"/>
      <c r="V17" s="275"/>
      <c r="W17" s="275"/>
      <c r="X17" s="275"/>
      <c r="Y17" s="275"/>
      <c r="Z17" s="275"/>
      <c r="AA17" s="275"/>
      <c r="AB17" s="276"/>
      <c r="AC17" s="236"/>
      <c r="AD17" s="236"/>
      <c r="AE17" s="236"/>
      <c r="AF17" s="236"/>
      <c r="AG17" s="66"/>
    </row>
    <row r="18" spans="1:33" ht="16.5" customHeight="1" x14ac:dyDescent="0.25">
      <c r="A18" s="180"/>
      <c r="B18" s="15"/>
      <c r="C18" s="217" t="s">
        <v>21</v>
      </c>
      <c r="D18" s="294"/>
      <c r="E18" s="294"/>
      <c r="F18" s="294"/>
      <c r="G18" s="112"/>
      <c r="H18" s="283" t="str">
        <f>VLOOKUP(50,Language!C3:AI68,Language!$B$2+1,FALSE)</f>
        <v>Qualitätssicherung</v>
      </c>
      <c r="I18" s="294"/>
      <c r="J18" s="294"/>
      <c r="K18" s="109"/>
      <c r="L18" s="282"/>
      <c r="M18" s="282"/>
      <c r="N18" s="280"/>
      <c r="O18" s="280"/>
      <c r="P18" s="16"/>
      <c r="R18" s="273"/>
      <c r="S18" s="274"/>
      <c r="T18" s="275"/>
      <c r="U18" s="275"/>
      <c r="V18" s="275"/>
      <c r="W18" s="275"/>
      <c r="X18" s="275"/>
      <c r="Y18" s="275"/>
      <c r="Z18" s="275"/>
      <c r="AA18" s="275"/>
      <c r="AB18" s="276"/>
      <c r="AC18" s="236"/>
      <c r="AD18" s="236"/>
      <c r="AE18" s="236"/>
      <c r="AF18" s="236"/>
      <c r="AG18" s="66"/>
    </row>
    <row r="19" spans="1:33" ht="16.5" customHeight="1" x14ac:dyDescent="0.25">
      <c r="A19" s="180"/>
      <c r="B19" s="15"/>
      <c r="C19" s="185" t="str">
        <f>VLOOKUP(15,Language!C3:AI68,Language!$B$2+1,FALSE)</f>
        <v>E-Mail</v>
      </c>
      <c r="D19" s="196"/>
      <c r="E19" s="196"/>
      <c r="F19" s="196"/>
      <c r="G19" s="133"/>
      <c r="H19" s="181" t="str">
        <f>VLOOKUP(16,Language!C3:AI68,Language!$B$2+1,FALSE)</f>
        <v>Telefon</v>
      </c>
      <c r="I19" s="178"/>
      <c r="J19" s="178"/>
      <c r="K19" s="109"/>
      <c r="L19" s="282"/>
      <c r="M19" s="282"/>
      <c r="N19" s="280"/>
      <c r="O19" s="280"/>
      <c r="P19" s="16"/>
      <c r="R19" s="273"/>
      <c r="S19" s="274"/>
      <c r="T19" s="275"/>
      <c r="U19" s="275"/>
      <c r="V19" s="275"/>
      <c r="W19" s="275"/>
      <c r="X19" s="275"/>
      <c r="Y19" s="275"/>
      <c r="Z19" s="275"/>
      <c r="AA19" s="275"/>
      <c r="AB19" s="276"/>
      <c r="AC19" s="236"/>
      <c r="AD19" s="236"/>
      <c r="AE19" s="236"/>
      <c r="AF19" s="236"/>
      <c r="AG19" s="66"/>
    </row>
    <row r="20" spans="1:33" ht="16.5" customHeight="1" x14ac:dyDescent="0.25">
      <c r="A20" s="180"/>
      <c r="B20" s="15"/>
      <c r="C20" s="197" t="s">
        <v>64</v>
      </c>
      <c r="D20" s="296"/>
      <c r="E20" s="296"/>
      <c r="F20" s="296"/>
      <c r="G20" s="112"/>
      <c r="H20" s="297" t="s">
        <v>62</v>
      </c>
      <c r="I20" s="298"/>
      <c r="J20" s="298"/>
      <c r="K20" s="109"/>
      <c r="L20" s="282"/>
      <c r="M20" s="282"/>
      <c r="N20" s="280"/>
      <c r="O20" s="280"/>
      <c r="P20" s="16"/>
      <c r="R20" s="273"/>
      <c r="S20" s="274"/>
      <c r="T20" s="275"/>
      <c r="U20" s="275"/>
      <c r="V20" s="275"/>
      <c r="W20" s="275"/>
      <c r="X20" s="275"/>
      <c r="Y20" s="275"/>
      <c r="Z20" s="275"/>
      <c r="AA20" s="275"/>
      <c r="AB20" s="276"/>
      <c r="AC20" s="236"/>
      <c r="AD20" s="236"/>
      <c r="AE20" s="236"/>
      <c r="AF20" s="236"/>
      <c r="AG20" s="66"/>
    </row>
    <row r="21" spans="1:33" ht="16.5" customHeight="1" x14ac:dyDescent="0.25">
      <c r="A21" s="180"/>
      <c r="B21" s="15"/>
      <c r="C21" s="132" t="str">
        <f>VLOOKUP(17,Language!C3:AI68,Language!$B$2+1,FALSE)</f>
        <v>Problembeschreibung aus dem Mängelbericht. Gegebenenfalls genauer beschreiben</v>
      </c>
      <c r="D21" s="108"/>
      <c r="E21" s="20"/>
      <c r="F21" s="21"/>
      <c r="G21" s="21"/>
      <c r="H21" s="110"/>
      <c r="I21" s="108"/>
      <c r="J21" s="20"/>
      <c r="K21" s="20"/>
      <c r="L21" s="22"/>
      <c r="M21" s="22"/>
      <c r="N21" s="22"/>
      <c r="O21" s="22"/>
      <c r="P21" s="16"/>
      <c r="R21" s="273"/>
      <c r="S21" s="65"/>
      <c r="T21" s="135" t="str">
        <f>VLOOKUP(17,Language!C3:AI68,Language!$B$2+1,FALSE)</f>
        <v>Problembeschreibung aus dem Mängelbericht. Gegebenenfalls genauer beschreiben</v>
      </c>
      <c r="U21" s="67"/>
      <c r="V21" s="71"/>
      <c r="W21" s="72"/>
      <c r="X21" s="72"/>
      <c r="Y21" s="68"/>
      <c r="Z21" s="67"/>
      <c r="AA21" s="71"/>
      <c r="AB21" s="71"/>
      <c r="AC21" s="73"/>
      <c r="AD21" s="73"/>
      <c r="AE21" s="73"/>
      <c r="AF21" s="73"/>
      <c r="AG21" s="66"/>
    </row>
    <row r="22" spans="1:33" ht="58.5" customHeight="1" x14ac:dyDescent="0.25">
      <c r="A22" s="180"/>
      <c r="B22" s="107"/>
      <c r="C22" s="291" t="str">
        <f>VLOOKUP(51,Language!C3:AI68,Language!$B$2+1,FALSE)</f>
        <v>Bei den gelieferten Seitenplatten wurde ein Gewinde M6 nicht geschnitten. Die Gewinde wurden von uns nachgeschnitten.</v>
      </c>
      <c r="D22" s="283"/>
      <c r="E22" s="284"/>
      <c r="F22" s="284"/>
      <c r="G22" s="284"/>
      <c r="H22" s="284"/>
      <c r="I22" s="284"/>
      <c r="J22" s="284"/>
      <c r="K22" s="284"/>
      <c r="L22" s="284"/>
      <c r="M22" s="284"/>
      <c r="N22" s="284"/>
      <c r="O22" s="284"/>
      <c r="P22" s="23"/>
      <c r="R22" s="273"/>
      <c r="S22" s="105"/>
      <c r="T22" s="277" t="str">
        <f>VLOOKUP(33,Language!C3:AI68,Language!$B$2+1,FALSE)</f>
        <v>Problembeschreibung aus dem Mängelbericht. Gegebenenfalls genauer beschreiben</v>
      </c>
      <c r="U22" s="239"/>
      <c r="V22" s="240"/>
      <c r="W22" s="240"/>
      <c r="X22" s="240"/>
      <c r="Y22" s="240"/>
      <c r="Z22" s="240"/>
      <c r="AA22" s="240"/>
      <c r="AB22" s="240"/>
      <c r="AC22" s="240"/>
      <c r="AD22" s="240"/>
      <c r="AE22" s="240"/>
      <c r="AF22" s="240"/>
      <c r="AG22" s="74"/>
    </row>
    <row r="23" spans="1:33" ht="6.75" customHeight="1" thickBot="1" x14ac:dyDescent="0.3">
      <c r="A23" s="180"/>
      <c r="B23" s="24"/>
      <c r="C23" s="25"/>
      <c r="D23" s="25"/>
      <c r="E23" s="26"/>
      <c r="F23" s="26"/>
      <c r="G23" s="26"/>
      <c r="H23" s="26"/>
      <c r="I23" s="26"/>
      <c r="J23" s="26"/>
      <c r="K23" s="26"/>
      <c r="L23" s="26"/>
      <c r="M23" s="26"/>
      <c r="N23" s="26"/>
      <c r="O23" s="26"/>
      <c r="P23" s="27"/>
      <c r="R23" s="273"/>
      <c r="S23" s="69"/>
      <c r="T23" s="70"/>
      <c r="U23" s="70"/>
      <c r="V23" s="75"/>
      <c r="W23" s="75"/>
      <c r="X23" s="75"/>
      <c r="Y23" s="75"/>
      <c r="Z23" s="75"/>
      <c r="AA23" s="75"/>
      <c r="AB23" s="75"/>
      <c r="AC23" s="75"/>
      <c r="AD23" s="75"/>
      <c r="AE23" s="75"/>
      <c r="AF23" s="75"/>
      <c r="AG23" s="76"/>
    </row>
    <row r="24" spans="1:33" ht="5.25" customHeight="1" x14ac:dyDescent="0.25">
      <c r="A24" s="180"/>
      <c r="B24" s="28"/>
      <c r="C24" s="29"/>
      <c r="D24" s="29"/>
      <c r="E24" s="30"/>
      <c r="F24" s="30"/>
      <c r="G24" s="30"/>
      <c r="H24" s="30"/>
      <c r="I24" s="30"/>
      <c r="J24" s="30"/>
      <c r="K24" s="30"/>
      <c r="L24" s="30"/>
      <c r="M24" s="30"/>
      <c r="N24" s="30"/>
      <c r="O24" s="30"/>
      <c r="P24" s="31"/>
      <c r="R24" s="273"/>
      <c r="S24" s="77"/>
      <c r="T24" s="78"/>
      <c r="U24" s="78"/>
      <c r="V24" s="79"/>
      <c r="W24" s="79"/>
      <c r="X24" s="79"/>
      <c r="Y24" s="79"/>
      <c r="Z24" s="79"/>
      <c r="AA24" s="79"/>
      <c r="AB24" s="79"/>
      <c r="AC24" s="79"/>
      <c r="AD24" s="79"/>
      <c r="AE24" s="79"/>
      <c r="AF24" s="79"/>
      <c r="AG24" s="80"/>
    </row>
    <row r="25" spans="1:33" ht="18" customHeight="1" x14ac:dyDescent="0.25">
      <c r="A25" s="180"/>
      <c r="B25" s="15"/>
      <c r="C25" s="178" t="str">
        <f>VLOOKUP(18,Language!C3:AI68,Language!$B$2+1,FALSE)</f>
        <v>Sofortmaßnahmen</v>
      </c>
      <c r="D25" s="178"/>
      <c r="E25" s="178"/>
      <c r="F25" s="178"/>
      <c r="G25" s="178"/>
      <c r="H25" s="178"/>
      <c r="I25" s="178"/>
      <c r="J25" s="178"/>
      <c r="K25" s="178"/>
      <c r="L25" s="178"/>
      <c r="M25" s="108"/>
      <c r="N25" s="108"/>
      <c r="O25" s="134" t="str">
        <f>VLOOKUP(19,Language!C3:AI68,Language!$B$2+1,FALSE)</f>
        <v>Einführungsdatum</v>
      </c>
      <c r="P25" s="32"/>
      <c r="R25" s="273"/>
      <c r="S25" s="65"/>
      <c r="T25" s="222" t="str">
        <f>VLOOKUP(18,Language!C3:AI68,Language!$B$2+1,FALSE)</f>
        <v>Sofortmaßnahmen</v>
      </c>
      <c r="U25" s="222"/>
      <c r="V25" s="222"/>
      <c r="W25" s="222"/>
      <c r="X25" s="222"/>
      <c r="Y25" s="222"/>
      <c r="Z25" s="222"/>
      <c r="AA25" s="222"/>
      <c r="AB25" s="222"/>
      <c r="AC25" s="222"/>
      <c r="AD25" s="67"/>
      <c r="AE25" s="67"/>
      <c r="AF25" s="136" t="str">
        <f>VLOOKUP(19,Language!C3:AI68,Language!$B$2+1,FALSE)</f>
        <v>Einführungsdatum</v>
      </c>
      <c r="AG25" s="81"/>
    </row>
    <row r="26" spans="1:33" ht="35.25" customHeight="1" x14ac:dyDescent="0.25">
      <c r="A26" s="180"/>
      <c r="B26" s="15"/>
      <c r="C26" s="292" t="str">
        <f>VLOOKUP(52,Language!C3:AI68,Language!$B$2+1,FALSE)</f>
        <v>Lagerbestand kontrollieren - Lagerbestand der betroffenen Materialnummer wies zwei weitere fehlerhafte Bauteile auf - fehlerhafte Bauteile wurden aus dem Lagerbestand herausgezogen und nachgearbeitet.</v>
      </c>
      <c r="D26" s="292"/>
      <c r="E26" s="292"/>
      <c r="F26" s="292"/>
      <c r="G26" s="292"/>
      <c r="H26" s="292"/>
      <c r="I26" s="292"/>
      <c r="J26" s="292"/>
      <c r="K26" s="292"/>
      <c r="L26" s="292"/>
      <c r="M26" s="293"/>
      <c r="N26" s="293"/>
      <c r="O26" s="5">
        <f>VLOOKUP(56,Language!C3:AI68,Language!$B$2+1,FALSE)</f>
        <v>44518</v>
      </c>
      <c r="P26" s="33"/>
      <c r="R26" s="273"/>
      <c r="S26" s="65"/>
      <c r="T26" s="223" t="str">
        <f>VLOOKUP(34,Language!C3:AI68,Language!$B$2+1,FALSE)</f>
        <v>Beispiele für Sofortmaßnahmen:
Sind die zuständigen Mitarbeiter über die Reklamation informiert worden?
Sind fehlerhafte Bauteile gesperrt worden?
Ist sichergestellt, dass die nächste Auslieferung an W&amp;H geprüft wurde und fehlerfrei ist?
Ist eine Warenausgangskontrolle installiert worden?
Sind Lagerbestände vorhanden und müssen diese überprüft werden?
Sind weitere W&amp;H-Bestellungen vorhanden und müssen diese überprüft werden?
Sind ähnliche Materialnummern/ Bauteile betroffen?
Ist die termingerechte Lieferung an W&amp;H sichergestellt?</v>
      </c>
      <c r="U26" s="224"/>
      <c r="V26" s="224"/>
      <c r="W26" s="224"/>
      <c r="X26" s="224"/>
      <c r="Y26" s="224"/>
      <c r="Z26" s="224"/>
      <c r="AA26" s="224"/>
      <c r="AB26" s="224"/>
      <c r="AC26" s="224"/>
      <c r="AD26" s="224"/>
      <c r="AE26" s="225"/>
      <c r="AF26" s="232" t="str">
        <f>VLOOKUP(35,Language!C3:AI68,Language!$B$2+1,FALSE)</f>
        <v>Wann wurde die 
Sofortmaßnahme eingeführt? (Datum)</v>
      </c>
      <c r="AG26" s="82"/>
    </row>
    <row r="27" spans="1:33" ht="35.25" customHeight="1" x14ac:dyDescent="0.25">
      <c r="A27" s="180"/>
      <c r="B27" s="15"/>
      <c r="C27" s="292" t="str">
        <f>VLOOKUP(53,Language!C3:AI68,Language!$B$2+1,FALSE)</f>
        <v>Zuständigen Mitarbeiter in der Produktion über den Mängelbericht informieren - Mitarbeiter wurden informiert.</v>
      </c>
      <c r="D27" s="292"/>
      <c r="E27" s="292"/>
      <c r="F27" s="292"/>
      <c r="G27" s="292"/>
      <c r="H27" s="292"/>
      <c r="I27" s="292"/>
      <c r="J27" s="292"/>
      <c r="K27" s="292"/>
      <c r="L27" s="292"/>
      <c r="M27" s="293"/>
      <c r="N27" s="293"/>
      <c r="O27" s="5">
        <f>VLOOKUP(56,Language!C3:AI68,Language!$B$2+1,FALSE)</f>
        <v>44518</v>
      </c>
      <c r="P27" s="34"/>
      <c r="R27" s="273"/>
      <c r="S27" s="65"/>
      <c r="T27" s="226"/>
      <c r="U27" s="227"/>
      <c r="V27" s="227"/>
      <c r="W27" s="227"/>
      <c r="X27" s="227"/>
      <c r="Y27" s="227"/>
      <c r="Z27" s="227"/>
      <c r="AA27" s="227"/>
      <c r="AB27" s="227"/>
      <c r="AC27" s="227"/>
      <c r="AD27" s="227"/>
      <c r="AE27" s="228"/>
      <c r="AF27" s="233"/>
      <c r="AG27" s="83"/>
    </row>
    <row r="28" spans="1:33" ht="35.25" customHeight="1" x14ac:dyDescent="0.25">
      <c r="A28" s="180"/>
      <c r="B28" s="15"/>
      <c r="C28" s="292" t="str">
        <f>VLOOKUP(54,Language!C3:AI68,Language!$B$2+1,FALSE)</f>
        <v>Spiegelbildliches Bauteil (Materialnummer 30204023) kontrollieren - keine fehlerhaften Bauteile entdeckt.</v>
      </c>
      <c r="D28" s="292"/>
      <c r="E28" s="292"/>
      <c r="F28" s="292"/>
      <c r="G28" s="292"/>
      <c r="H28" s="292"/>
      <c r="I28" s="292"/>
      <c r="J28" s="292"/>
      <c r="K28" s="292"/>
      <c r="L28" s="292"/>
      <c r="M28" s="293"/>
      <c r="N28" s="293"/>
      <c r="O28" s="5">
        <f>VLOOKUP(56,Language!C3:AI68,Language!$B$2+1,FALSE)</f>
        <v>44518</v>
      </c>
      <c r="P28" s="34"/>
      <c r="R28" s="273"/>
      <c r="S28" s="65"/>
      <c r="T28" s="226"/>
      <c r="U28" s="227"/>
      <c r="V28" s="227"/>
      <c r="W28" s="227"/>
      <c r="X28" s="227"/>
      <c r="Y28" s="227"/>
      <c r="Z28" s="227"/>
      <c r="AA28" s="227"/>
      <c r="AB28" s="227"/>
      <c r="AC28" s="227"/>
      <c r="AD28" s="227"/>
      <c r="AE28" s="228"/>
      <c r="AF28" s="233"/>
      <c r="AG28" s="83"/>
    </row>
    <row r="29" spans="1:33" ht="35.25" customHeight="1" x14ac:dyDescent="0.25">
      <c r="A29" s="180"/>
      <c r="B29" s="15"/>
      <c r="C29" s="292" t="str">
        <f>VLOOKUP(55,Language!C3:AI68,Language!$B$2+1,FALSE)</f>
        <v>Warenausgangskontrolle für die Materialnummern 30204022 und 30204023 einführen - Warenausgangskontrollen für die genannten Materialnummern wurden eingeführt.</v>
      </c>
      <c r="D29" s="292"/>
      <c r="E29" s="292"/>
      <c r="F29" s="292"/>
      <c r="G29" s="292"/>
      <c r="H29" s="292"/>
      <c r="I29" s="292"/>
      <c r="J29" s="292"/>
      <c r="K29" s="292"/>
      <c r="L29" s="292"/>
      <c r="M29" s="293"/>
      <c r="N29" s="293"/>
      <c r="O29" s="5">
        <f>VLOOKUP(56,Language!C3:AI68,Language!$B$2+1,FALSE)</f>
        <v>44518</v>
      </c>
      <c r="P29" s="34"/>
      <c r="R29" s="273"/>
      <c r="S29" s="65"/>
      <c r="T29" s="226"/>
      <c r="U29" s="227"/>
      <c r="V29" s="227"/>
      <c r="W29" s="227"/>
      <c r="X29" s="227"/>
      <c r="Y29" s="227"/>
      <c r="Z29" s="227"/>
      <c r="AA29" s="227"/>
      <c r="AB29" s="227"/>
      <c r="AC29" s="227"/>
      <c r="AD29" s="227"/>
      <c r="AE29" s="228"/>
      <c r="AF29" s="233"/>
      <c r="AG29" s="83"/>
    </row>
    <row r="30" spans="1:33" ht="35.25" customHeight="1" x14ac:dyDescent="0.25">
      <c r="A30" s="180"/>
      <c r="B30" s="15"/>
      <c r="C30" s="292"/>
      <c r="D30" s="292"/>
      <c r="E30" s="292"/>
      <c r="F30" s="292"/>
      <c r="G30" s="292"/>
      <c r="H30" s="292"/>
      <c r="I30" s="292"/>
      <c r="J30" s="292"/>
      <c r="K30" s="292"/>
      <c r="L30" s="292"/>
      <c r="M30" s="293"/>
      <c r="N30" s="293"/>
      <c r="O30" s="5"/>
      <c r="P30" s="34"/>
      <c r="R30" s="273"/>
      <c r="S30" s="65"/>
      <c r="T30" s="226"/>
      <c r="U30" s="227"/>
      <c r="V30" s="227"/>
      <c r="W30" s="227"/>
      <c r="X30" s="227"/>
      <c r="Y30" s="227"/>
      <c r="Z30" s="227"/>
      <c r="AA30" s="227"/>
      <c r="AB30" s="227"/>
      <c r="AC30" s="227"/>
      <c r="AD30" s="227"/>
      <c r="AE30" s="228"/>
      <c r="AF30" s="233"/>
      <c r="AG30" s="83"/>
    </row>
    <row r="31" spans="1:33" ht="35.25" customHeight="1" x14ac:dyDescent="0.25">
      <c r="A31" s="180"/>
      <c r="B31" s="15"/>
      <c r="C31" s="292"/>
      <c r="D31" s="292"/>
      <c r="E31" s="292"/>
      <c r="F31" s="292"/>
      <c r="G31" s="292"/>
      <c r="H31" s="292"/>
      <c r="I31" s="292"/>
      <c r="J31" s="292"/>
      <c r="K31" s="292"/>
      <c r="L31" s="292"/>
      <c r="M31" s="293"/>
      <c r="N31" s="293"/>
      <c r="O31" s="5"/>
      <c r="P31" s="34"/>
      <c r="R31" s="273"/>
      <c r="S31" s="65"/>
      <c r="T31" s="229"/>
      <c r="U31" s="230"/>
      <c r="V31" s="230"/>
      <c r="W31" s="230"/>
      <c r="X31" s="230"/>
      <c r="Y31" s="230"/>
      <c r="Z31" s="230"/>
      <c r="AA31" s="230"/>
      <c r="AB31" s="230"/>
      <c r="AC31" s="230"/>
      <c r="AD31" s="230"/>
      <c r="AE31" s="231"/>
      <c r="AF31" s="234"/>
      <c r="AG31" s="83"/>
    </row>
    <row r="32" spans="1:33" ht="4.5" customHeight="1" thickBot="1" x14ac:dyDescent="0.3">
      <c r="A32" s="180"/>
      <c r="B32" s="24"/>
      <c r="C32" s="35"/>
      <c r="D32" s="35"/>
      <c r="E32" s="35"/>
      <c r="F32" s="35"/>
      <c r="G32" s="35"/>
      <c r="H32" s="35"/>
      <c r="I32" s="35"/>
      <c r="J32" s="35"/>
      <c r="K32" s="35"/>
      <c r="L32" s="35"/>
      <c r="M32" s="35"/>
      <c r="N32" s="35"/>
      <c r="O32" s="36"/>
      <c r="P32" s="37"/>
      <c r="R32" s="273"/>
      <c r="S32" s="69"/>
      <c r="T32" s="84"/>
      <c r="U32" s="84"/>
      <c r="V32" s="84"/>
      <c r="W32" s="84"/>
      <c r="X32" s="84"/>
      <c r="Y32" s="84"/>
      <c r="Z32" s="84"/>
      <c r="AA32" s="84"/>
      <c r="AB32" s="84"/>
      <c r="AC32" s="84"/>
      <c r="AD32" s="84"/>
      <c r="AE32" s="84"/>
      <c r="AF32" s="85"/>
      <c r="AG32" s="86"/>
    </row>
    <row r="33" spans="1:33" ht="6" customHeight="1" x14ac:dyDescent="0.25">
      <c r="A33" s="180"/>
      <c r="B33" s="28"/>
      <c r="C33" s="38"/>
      <c r="D33" s="38"/>
      <c r="E33" s="38"/>
      <c r="F33" s="38"/>
      <c r="G33" s="38"/>
      <c r="H33" s="38"/>
      <c r="I33" s="38"/>
      <c r="J33" s="38"/>
      <c r="K33" s="38"/>
      <c r="L33" s="38"/>
      <c r="M33" s="38"/>
      <c r="N33" s="38"/>
      <c r="O33" s="39"/>
      <c r="P33" s="40"/>
      <c r="R33" s="273"/>
      <c r="S33" s="77"/>
      <c r="T33" s="87"/>
      <c r="U33" s="87"/>
      <c r="V33" s="87"/>
      <c r="W33" s="87"/>
      <c r="X33" s="87"/>
      <c r="Y33" s="87"/>
      <c r="Z33" s="87"/>
      <c r="AA33" s="87"/>
      <c r="AB33" s="87"/>
      <c r="AC33" s="87"/>
      <c r="AD33" s="87"/>
      <c r="AE33" s="87"/>
      <c r="AF33" s="88"/>
      <c r="AG33" s="89"/>
    </row>
    <row r="34" spans="1:33" x14ac:dyDescent="0.25">
      <c r="A34" s="180"/>
      <c r="B34" s="15"/>
      <c r="C34" s="41"/>
      <c r="D34" s="178" t="str">
        <f>VLOOKUP(20,Language!C3:AI68,Language!$B$2+1,FALSE)</f>
        <v>Ursachenanalyse</v>
      </c>
      <c r="E34" s="178"/>
      <c r="F34" s="178"/>
      <c r="G34" s="178"/>
      <c r="H34" s="178"/>
      <c r="I34" s="178"/>
      <c r="J34" s="178"/>
      <c r="K34" s="178"/>
      <c r="L34" s="178"/>
      <c r="M34" s="178"/>
      <c r="N34" s="178"/>
      <c r="O34" s="178"/>
      <c r="P34" s="42"/>
      <c r="R34" s="273"/>
      <c r="S34" s="65"/>
      <c r="T34" s="90"/>
      <c r="U34" s="278" t="str">
        <f>VLOOKUP(20,Language!C3:AI68,Language!$B$2+1,FALSE)</f>
        <v>Ursachenanalyse</v>
      </c>
      <c r="V34" s="278"/>
      <c r="W34" s="278"/>
      <c r="X34" s="278"/>
      <c r="Y34" s="278"/>
      <c r="Z34" s="278"/>
      <c r="AA34" s="278"/>
      <c r="AB34" s="278"/>
      <c r="AC34" s="278"/>
      <c r="AD34" s="278"/>
      <c r="AE34" s="278"/>
      <c r="AF34" s="278"/>
      <c r="AG34" s="91"/>
    </row>
    <row r="35" spans="1:33" ht="105.75" customHeight="1" x14ac:dyDescent="0.25">
      <c r="A35" s="180"/>
      <c r="B35" s="15"/>
      <c r="C35" s="56" t="str">
        <f>VLOOKUP(21,Language!C3:AI68,Language!$B$2+1,FALSE)</f>
        <v>Auftreten</v>
      </c>
      <c r="D35" s="290" t="str">
        <f>VLOOKUP(57,Language!C3:AI68,Language!$B$2+1,FALSE)</f>
        <v>Der zuständige Mitarbeiter hat die Angabe der Gewindebohung in der technischen Zeichnung übersehen. Ferner wurde der zur Materialnummer 30222222 gehörende Arbeitsplan nicht aufmerksam gelesen.</v>
      </c>
      <c r="E35" s="290"/>
      <c r="F35" s="290"/>
      <c r="G35" s="290"/>
      <c r="H35" s="290"/>
      <c r="I35" s="290"/>
      <c r="J35" s="290"/>
      <c r="K35" s="290"/>
      <c r="L35" s="290"/>
      <c r="M35" s="290"/>
      <c r="N35" s="290"/>
      <c r="O35" s="290"/>
      <c r="P35" s="43"/>
      <c r="R35" s="273"/>
      <c r="S35" s="65"/>
      <c r="T35" s="92" t="str">
        <f>VLOOKUP(21,Language!C3:AI68,Language!$B$2+1,FALSE)</f>
        <v>Auftreten</v>
      </c>
      <c r="U35" s="238" t="str">
        <f>VLOOKUP(36,Language!C3:AI68,Language!$B$2+1,FALSE)</f>
        <v>Wieso ist das Problem aufgetreten? Was ist die Grundursache für das Auftreten des Problems? 
Bei komplexen Problemen sind auch mehrere Grundursachen möglich.
Möglichst Nachweise für die Grundursache beifügen.</v>
      </c>
      <c r="V35" s="238"/>
      <c r="W35" s="238"/>
      <c r="X35" s="238"/>
      <c r="Y35" s="238"/>
      <c r="Z35" s="238"/>
      <c r="AA35" s="238"/>
      <c r="AB35" s="238"/>
      <c r="AC35" s="238"/>
      <c r="AD35" s="238"/>
      <c r="AE35" s="238"/>
      <c r="AF35" s="238"/>
      <c r="AG35" s="93"/>
    </row>
    <row r="36" spans="1:33" ht="105.75" customHeight="1" x14ac:dyDescent="0.25">
      <c r="A36" s="180"/>
      <c r="B36" s="15"/>
      <c r="C36" s="56" t="str">
        <f>VLOOKUP(22,Language!C3:AI68,Language!$B$2+1,FALSE)</f>
        <v>Nicht-Entdecken</v>
      </c>
      <c r="D36" s="203" t="str">
        <f>VLOOKUP(58,Language!C3:AI68,Language!$B$2+1,FALSE)</f>
        <v xml:space="preserve">Nach der Fertigung der Materialnummern 30222222 und 30222223 werden keine weiteren Kontrollen durch andere Abteilungen oder Mitarbeiter durchgeführt. Lediglich der zuständige Mitarbeiter kontrolliert seine Arbeit selbst. </v>
      </c>
      <c r="E36" s="203"/>
      <c r="F36" s="203"/>
      <c r="G36" s="203"/>
      <c r="H36" s="203"/>
      <c r="I36" s="203"/>
      <c r="J36" s="203"/>
      <c r="K36" s="203"/>
      <c r="L36" s="203"/>
      <c r="M36" s="203"/>
      <c r="N36" s="203"/>
      <c r="O36" s="203"/>
      <c r="P36" s="23"/>
      <c r="R36" s="273"/>
      <c r="S36" s="65"/>
      <c r="T36" s="92" t="str">
        <f>VLOOKUP(22,Language!C3:AI68,Language!$B$2+1,FALSE)</f>
        <v>Nicht-Entdecken</v>
      </c>
      <c r="U36" s="243" t="str">
        <f>VLOOKUP(37,Language!C3:AI68,Language!$B$2+1,FALSE)</f>
        <v>Wieso wurde das Problem nicht entdeckt? Was ist die Grundursache für das Nicht-Entdecken des Problems? 
Mehrfachnennungen sind möglich.
Möglichst Nachweise für die Grundursache beifügen.</v>
      </c>
      <c r="V36" s="243"/>
      <c r="W36" s="243"/>
      <c r="X36" s="243"/>
      <c r="Y36" s="243"/>
      <c r="Z36" s="243"/>
      <c r="AA36" s="243"/>
      <c r="AB36" s="243"/>
      <c r="AC36" s="243"/>
      <c r="AD36" s="243"/>
      <c r="AE36" s="243"/>
      <c r="AF36" s="243"/>
      <c r="AG36" s="74"/>
    </row>
    <row r="37" spans="1:33" ht="75" customHeight="1" x14ac:dyDescent="0.25">
      <c r="A37" s="180"/>
      <c r="B37" s="15"/>
      <c r="C37" s="41"/>
      <c r="D37" s="188" t="str">
        <f>VLOOKUP(24,Language!C3:AI68,Language!$B$2+1,FALSE)</f>
        <v>Nachhaltige Korrekturmaßnahmen</v>
      </c>
      <c r="E37" s="188"/>
      <c r="F37" s="188"/>
      <c r="G37" s="188"/>
      <c r="H37" s="188"/>
      <c r="I37" s="188"/>
      <c r="J37" s="188"/>
      <c r="K37" s="212"/>
      <c r="L37" s="212"/>
      <c r="M37" s="188" t="str">
        <f>VLOOKUP(25,Language!C3:AI68,Language!$B$2+1,FALSE)</f>
        <v>Wirksamkeitsnachweis (nach Möglichkeit mitsenden)</v>
      </c>
      <c r="N37" s="213"/>
      <c r="O37" s="44" t="str">
        <f>VLOOKUP(26,Language!C3:AI68,Language!$B$2+1,FALSE)</f>
        <v>Einführungsdatum</v>
      </c>
      <c r="P37" s="45"/>
      <c r="R37" s="273"/>
      <c r="S37" s="65"/>
      <c r="T37" s="90"/>
      <c r="U37" s="222" t="str">
        <f>VLOOKUP(24,Language!C3:AI68,Language!$B$2+1,FALSE)</f>
        <v>Nachhaltige Korrekturmaßnahmen</v>
      </c>
      <c r="V37" s="222"/>
      <c r="W37" s="222"/>
      <c r="X37" s="222"/>
      <c r="Y37" s="222"/>
      <c r="Z37" s="222"/>
      <c r="AA37" s="222"/>
      <c r="AB37" s="241"/>
      <c r="AC37" s="241"/>
      <c r="AD37" s="222" t="str">
        <f>VLOOKUP(25,Language!C3:AI68,Language!$B$2+1,FALSE)</f>
        <v>Wirksamkeitsnachweis (nach Möglichkeit mitsenden)</v>
      </c>
      <c r="AE37" s="242"/>
      <c r="AF37" s="137" t="str">
        <f>VLOOKUP(26,Language!C3:AI68,Language!$B$2+1,FALSE)</f>
        <v>Einführungsdatum</v>
      </c>
      <c r="AG37" s="94"/>
    </row>
    <row r="38" spans="1:33" ht="118.5" customHeight="1" x14ac:dyDescent="0.25">
      <c r="A38" s="180"/>
      <c r="B38" s="15"/>
      <c r="C38" s="56" t="str">
        <f>VLOOKUP(27,Language!C3:AI68,Language!$B$2+1,FALSE)</f>
        <v>Auftreten</v>
      </c>
      <c r="D38" s="203" t="str">
        <f>VLOOKUP(59,Language!C3:AI68,Language!$B$2+1,FALSE)</f>
        <v>Die Arbeitsanweisung wurde überarbeitet. Die für den jeweiligen Fertigungsschritt notwendigen Anweisungen werden zukünftig fett markiert. 
Weiterhin wird das Lesen und Verstehen der einzelnen Fertigungsschritte durch den zuständigen Mitarbeiter mittels Unterschrift bestätigt.</v>
      </c>
      <c r="E38" s="203"/>
      <c r="F38" s="203"/>
      <c r="G38" s="203"/>
      <c r="H38" s="203"/>
      <c r="I38" s="203"/>
      <c r="J38" s="203"/>
      <c r="K38" s="285"/>
      <c r="L38" s="285"/>
      <c r="M38" s="288" t="str">
        <f>VLOOKUP(61,Language!C3:AI68,Language!$B$2+1,FALSE)</f>
        <v>Die überarbeitete Version des Arbeitsplans wird zusammen mit dem ausgefüllten Lieferanten WH-A4 Formular an W&amp;H gesendet.</v>
      </c>
      <c r="N38" s="289"/>
      <c r="O38" s="57">
        <f>VLOOKUP(63,Language!C3:AI68,Language!$B$2+1,FALSE)</f>
        <v>44523</v>
      </c>
      <c r="P38" s="46"/>
      <c r="R38" s="273"/>
      <c r="S38" s="65"/>
      <c r="T38" s="92" t="str">
        <f>VLOOKUP(21,Language!C3:AI68,Language!$B$2+1,FALSE)</f>
        <v>Auftreten</v>
      </c>
      <c r="U38" s="243" t="str">
        <f>VLOOKUP(38,Language!C3:AI68,Language!$B$2+1,FALSE)</f>
        <v>Die nachhaltige Problemlösung (Fehlervermeidung) muss im Vordergrund stehen.
Für jede Grundursache (Auftreten) muss mindestens eine Korrekturmaßnahme eingetragen werden.
Eine einfache Mitarbeiterunterweisung wird im Qualitätsmanagement nicht als nachhaltige Korrekturmaßnahme akzeptiert.</v>
      </c>
      <c r="V38" s="243"/>
      <c r="W38" s="243"/>
      <c r="X38" s="243"/>
      <c r="Y38" s="243"/>
      <c r="Z38" s="243"/>
      <c r="AA38" s="243"/>
      <c r="AB38" s="244"/>
      <c r="AC38" s="244"/>
      <c r="AD38" s="245" t="str">
        <f>VLOOKUP(39,Language!C3:AI68,Language!$B$2+1,FALSE)</f>
        <v>Bitte geben Sie einen Nachweis zur Wirksamkeit der eingeführten Korrekturmaßnahme (Auftreten) an. Beispiel: Audit, Prozessbestätigung, Validierung und andere. Der Wirksamkeitsnachweis ist mit dem 
WH-A4 Formular an W&amp;H zu senden.</v>
      </c>
      <c r="AE38" s="246"/>
      <c r="AF38" s="106" t="str">
        <f>VLOOKUP(40,Language!C3:AI68,Language!$B$2+1,FALSE)</f>
        <v>Wann wurde die Korrekturmaßnahme (Auftreten) eingeführt?</v>
      </c>
      <c r="AG38" s="95"/>
    </row>
    <row r="39" spans="1:33" ht="127.5" customHeight="1" x14ac:dyDescent="0.25">
      <c r="A39" s="180"/>
      <c r="B39" s="15"/>
      <c r="C39" s="56" t="str">
        <f>VLOOKUP(28,Language!C3:AI68,Language!$B$2+1,FALSE)</f>
        <v>Nicht-Entdecken</v>
      </c>
      <c r="D39" s="203" t="str">
        <f>VLOOKUP(60,Language!C3:AI68,Language!$B$2+1,FALSE)</f>
        <v>Für die fehlerhafte Materialnummer 30204022 sowie das spiegelbildliche Bauteil 30204023 werden Kontrollarbeitsschritte in den Arbeitsplänen aufgenommen. Die Kontrolle erfolgt durch die QS.</v>
      </c>
      <c r="E39" s="203"/>
      <c r="F39" s="203"/>
      <c r="G39" s="203"/>
      <c r="H39" s="203"/>
      <c r="I39" s="203"/>
      <c r="J39" s="203"/>
      <c r="K39" s="285"/>
      <c r="L39" s="285"/>
      <c r="M39" s="286" t="str">
        <f>VLOOKUP(62,Language!C3:AI68,Language!$B$2+1,FALSE)</f>
        <v>Eine Kopie der Arbeitspläne wird mit dem ausgefüllten Lieferanten WH-A4 Formular an W&amp;H gesendet.</v>
      </c>
      <c r="N39" s="287"/>
      <c r="O39" s="57">
        <f>VLOOKUP(63,Language!C3:AI68,Language!$B$2+1,FALSE)</f>
        <v>44523</v>
      </c>
      <c r="P39" s="46"/>
      <c r="R39" s="273"/>
      <c r="S39" s="65"/>
      <c r="T39" s="92" t="str">
        <f>VLOOKUP(22,Language!C3:AI68,Language!$B$2+1,FALSE)</f>
        <v>Nicht-Entdecken</v>
      </c>
      <c r="U39" s="243" t="str">
        <f>VLOOKUP(41,Language!C3:AI68,Language!$B$2+1,FALSE)</f>
        <v>Die nachhaltige Problemlösung (Fehlervermeidung) muss im Vordergrund stehen.
Für jede Grundursache (Nicht entdecken) muss mindestens eine Korrekturmaßnahme eingetragen werden. 
Eine einfache Mitarbeiterunterweisung wird im Qualitätsmanagement nicht als nachhaltige Korrekturmaßnahme akzeptiert.</v>
      </c>
      <c r="V39" s="243"/>
      <c r="W39" s="243"/>
      <c r="X39" s="243"/>
      <c r="Y39" s="243"/>
      <c r="Z39" s="243"/>
      <c r="AA39" s="243"/>
      <c r="AB39" s="244"/>
      <c r="AC39" s="244"/>
      <c r="AD39" s="247" t="str">
        <f>VLOOKUP(42,Language!C3:AI68,Language!$B$2+1,FALSE)</f>
        <v>Bitte geben Sie einen Nachweis zur Wirksamkeit der eingeführten Korrekturmaßnahme (Nicht entdecken) an. Beispiel: Audit, Prozessbestätigung, Validierung und andere. Der Wirksamkeitsnachweis ist mit dem WH-A4 Formular an W&amp;H zu senden.</v>
      </c>
      <c r="AE39" s="248"/>
      <c r="AF39" s="106" t="str">
        <f>VLOOKUP(43,Language!C3:AI68,Language!$B$2+1,FALSE)</f>
        <v>Wann wurde die Korrekturmaßnahme (Nicht entdecken) eingeführt?</v>
      </c>
      <c r="AG39" s="95"/>
    </row>
    <row r="40" spans="1:33" ht="5.25" customHeight="1" thickBot="1" x14ac:dyDescent="0.3">
      <c r="A40" s="180"/>
      <c r="B40" s="24"/>
      <c r="C40" s="201"/>
      <c r="D40" s="201"/>
      <c r="E40" s="201"/>
      <c r="F40" s="201"/>
      <c r="G40" s="201"/>
      <c r="H40" s="201"/>
      <c r="I40" s="201"/>
      <c r="J40" s="201"/>
      <c r="K40" s="201"/>
      <c r="L40" s="201"/>
      <c r="M40" s="201"/>
      <c r="N40" s="201"/>
      <c r="O40" s="201"/>
      <c r="P40" s="47"/>
      <c r="R40" s="273"/>
      <c r="S40" s="69"/>
      <c r="T40" s="259"/>
      <c r="U40" s="259"/>
      <c r="V40" s="259"/>
      <c r="W40" s="259"/>
      <c r="X40" s="259"/>
      <c r="Y40" s="259"/>
      <c r="Z40" s="259"/>
      <c r="AA40" s="259"/>
      <c r="AB40" s="259"/>
      <c r="AC40" s="259"/>
      <c r="AD40" s="259"/>
      <c r="AE40" s="259"/>
      <c r="AF40" s="259"/>
      <c r="AG40" s="96"/>
    </row>
    <row r="41" spans="1:33" ht="5.25" customHeight="1" x14ac:dyDescent="0.25">
      <c r="A41" s="180"/>
      <c r="B41" s="15"/>
      <c r="C41" s="111"/>
      <c r="D41" s="111"/>
      <c r="E41" s="111"/>
      <c r="F41" s="111"/>
      <c r="G41" s="111"/>
      <c r="H41" s="111"/>
      <c r="I41" s="111"/>
      <c r="J41" s="111"/>
      <c r="K41" s="111"/>
      <c r="L41" s="111"/>
      <c r="M41" s="111"/>
      <c r="N41" s="111"/>
      <c r="O41" s="111"/>
      <c r="P41" s="48"/>
      <c r="R41" s="273"/>
      <c r="S41" s="65"/>
      <c r="T41" s="97"/>
      <c r="U41" s="97"/>
      <c r="V41" s="97"/>
      <c r="W41" s="97"/>
      <c r="X41" s="97"/>
      <c r="Y41" s="97"/>
      <c r="Z41" s="97"/>
      <c r="AA41" s="97"/>
      <c r="AB41" s="97"/>
      <c r="AC41" s="97"/>
      <c r="AD41" s="97"/>
      <c r="AE41" s="97"/>
      <c r="AF41" s="97"/>
      <c r="AG41" s="98"/>
    </row>
    <row r="42" spans="1:33" ht="15" customHeight="1" x14ac:dyDescent="0.25">
      <c r="A42" s="180"/>
      <c r="B42" s="15"/>
      <c r="C42" s="178" t="str">
        <f>VLOOKUP(29,Language!C3:AI68,Language!$B$2+1,FALSE)</f>
        <v>Reklamation anerkannt</v>
      </c>
      <c r="D42" s="178"/>
      <c r="E42" s="178"/>
      <c r="F42" s="49"/>
      <c r="G42" s="49"/>
      <c r="H42" s="202"/>
      <c r="I42" s="202"/>
      <c r="J42" s="202"/>
      <c r="K42" s="202"/>
      <c r="L42" s="202"/>
      <c r="M42" s="202"/>
      <c r="N42" s="202"/>
      <c r="O42" s="202"/>
      <c r="P42" s="48"/>
      <c r="R42" s="273"/>
      <c r="S42" s="65"/>
      <c r="T42" s="222" t="str">
        <f>VLOOKUP(29,Language!C3:AI68,Language!$B$2+1,FALSE)</f>
        <v>Reklamation anerkannt</v>
      </c>
      <c r="U42" s="222"/>
      <c r="V42" s="222"/>
      <c r="W42" s="99"/>
      <c r="X42" s="99"/>
      <c r="Y42" s="260"/>
      <c r="Z42" s="260"/>
      <c r="AA42" s="260"/>
      <c r="AB42" s="260"/>
      <c r="AC42" s="260"/>
      <c r="AD42" s="260"/>
      <c r="AE42" s="260"/>
      <c r="AF42" s="260"/>
      <c r="AG42" s="98"/>
    </row>
    <row r="43" spans="1:33" ht="18.75" customHeight="1" x14ac:dyDescent="0.25">
      <c r="A43" s="180"/>
      <c r="B43" s="15"/>
      <c r="C43" s="50"/>
      <c r="D43" s="6" t="str">
        <f>VLOOKUP(64,Language!C3:AI68,Language!$B$2+1,FALSE)</f>
        <v>Ja</v>
      </c>
      <c r="E43" s="50"/>
      <c r="F43" s="49"/>
      <c r="G43" s="49"/>
      <c r="H43" s="111"/>
      <c r="I43" s="111"/>
      <c r="J43" s="111"/>
      <c r="K43" s="111"/>
      <c r="L43" s="111"/>
      <c r="M43" s="111"/>
      <c r="N43" s="111"/>
      <c r="O43" s="111"/>
      <c r="P43" s="48"/>
      <c r="R43" s="273"/>
      <c r="S43" s="65"/>
      <c r="T43" s="100"/>
      <c r="U43" s="101"/>
      <c r="V43" s="100"/>
      <c r="W43" s="249" t="str">
        <f>VLOOKUP(44,Language!C3:AI68,Language!$B$2+1,FALSE)</f>
        <v xml:space="preserve">Tragen Sie hier ein, ob Sie die Reklamation anerkennen oder ablehnen. Nutzen Sie dazu das Drop-down-Menü. </v>
      </c>
      <c r="X43" s="249"/>
      <c r="Y43" s="249"/>
      <c r="Z43" s="249"/>
      <c r="AA43" s="249"/>
      <c r="AB43" s="249"/>
      <c r="AC43" s="249"/>
      <c r="AD43" s="249"/>
      <c r="AE43" s="249"/>
      <c r="AF43" s="249"/>
      <c r="AG43" s="98"/>
    </row>
    <row r="44" spans="1:33" ht="15" customHeight="1" x14ac:dyDescent="0.25">
      <c r="A44" s="180"/>
      <c r="B44" s="15"/>
      <c r="C44" s="132" t="str">
        <f>VLOOKUP(30,Language!C3:AI68,Language!$B$2+1,FALSE)</f>
        <v>Begründung/ weitere Informationen</v>
      </c>
      <c r="D44" s="50"/>
      <c r="E44" s="50"/>
      <c r="F44" s="49"/>
      <c r="G44" s="49"/>
      <c r="H44" s="49"/>
      <c r="I44" s="49"/>
      <c r="J44" s="49"/>
      <c r="K44" s="49"/>
      <c r="L44" s="49"/>
      <c r="M44" s="49"/>
      <c r="N44" s="49"/>
      <c r="O44" s="49"/>
      <c r="P44" s="23"/>
      <c r="R44" s="273"/>
      <c r="S44" s="65"/>
      <c r="T44" s="67" t="str">
        <f>VLOOKUP(30,Language!C3:AI68,Language!$B$2+1,FALSE)</f>
        <v>Begründung/ weitere Informationen</v>
      </c>
      <c r="U44" s="100"/>
      <c r="V44" s="100"/>
      <c r="W44" s="99"/>
      <c r="X44" s="99"/>
      <c r="Y44" s="99"/>
      <c r="Z44" s="99"/>
      <c r="AA44" s="99"/>
      <c r="AB44" s="99"/>
      <c r="AC44" s="99"/>
      <c r="AD44" s="99"/>
      <c r="AE44" s="99"/>
      <c r="AF44" s="99"/>
      <c r="AG44" s="74"/>
    </row>
    <row r="45" spans="1:33" ht="28.5" customHeight="1" x14ac:dyDescent="0.25">
      <c r="A45" s="180"/>
      <c r="B45" s="15"/>
      <c r="C45" s="283"/>
      <c r="D45" s="284"/>
      <c r="E45" s="284"/>
      <c r="F45" s="284"/>
      <c r="G45" s="284"/>
      <c r="H45" s="284"/>
      <c r="I45" s="284"/>
      <c r="J45" s="284"/>
      <c r="K45" s="284"/>
      <c r="L45" s="284"/>
      <c r="M45" s="284"/>
      <c r="N45" s="284"/>
      <c r="O45" s="284"/>
      <c r="P45" s="23"/>
      <c r="R45" s="273"/>
      <c r="S45" s="65"/>
      <c r="T45" s="239" t="str">
        <f>VLOOKUP(45,Language!C3:AI68,Language!$B$2+1,FALSE)</f>
        <v>Falls nötig können hier weitere Informationen vermerkt und die Auswahl begründet werden.</v>
      </c>
      <c r="U45" s="240"/>
      <c r="V45" s="240"/>
      <c r="W45" s="240"/>
      <c r="X45" s="240"/>
      <c r="Y45" s="240"/>
      <c r="Z45" s="240"/>
      <c r="AA45" s="240"/>
      <c r="AB45" s="240"/>
      <c r="AC45" s="240"/>
      <c r="AD45" s="240"/>
      <c r="AE45" s="240"/>
      <c r="AF45" s="240"/>
      <c r="AG45" s="74"/>
    </row>
    <row r="46" spans="1:33" ht="4.5" customHeight="1" thickBot="1" x14ac:dyDescent="0.3">
      <c r="A46" s="51"/>
      <c r="B46" s="52"/>
      <c r="C46" s="52"/>
      <c r="D46" s="52"/>
      <c r="E46" s="52"/>
      <c r="F46" s="52"/>
      <c r="G46" s="52"/>
      <c r="H46" s="52"/>
      <c r="I46" s="52"/>
      <c r="J46" s="52"/>
      <c r="K46" s="52"/>
      <c r="L46" s="52"/>
      <c r="M46" s="52"/>
      <c r="N46" s="52"/>
      <c r="O46" s="52"/>
      <c r="P46" s="53"/>
      <c r="R46" s="102"/>
      <c r="S46" s="103"/>
      <c r="T46" s="103"/>
      <c r="U46" s="103"/>
      <c r="V46" s="103"/>
      <c r="W46" s="103"/>
      <c r="X46" s="103"/>
      <c r="Y46" s="103"/>
      <c r="Z46" s="103"/>
      <c r="AA46" s="103"/>
      <c r="AB46" s="103"/>
      <c r="AC46" s="103"/>
      <c r="AD46" s="103"/>
      <c r="AE46" s="103"/>
      <c r="AF46" s="103"/>
      <c r="AG46" s="104"/>
    </row>
    <row r="53" ht="15.75" customHeight="1" x14ac:dyDescent="0.25"/>
  </sheetData>
  <mergeCells count="84">
    <mergeCell ref="R2:AD3"/>
    <mergeCell ref="A4:J5"/>
    <mergeCell ref="L4:O4"/>
    <mergeCell ref="R4:AA5"/>
    <mergeCell ref="AC4:AF4"/>
    <mergeCell ref="L5:O5"/>
    <mergeCell ref="AC5:AF5"/>
    <mergeCell ref="AE2:AF3"/>
    <mergeCell ref="A2:L3"/>
    <mergeCell ref="M2:N2"/>
    <mergeCell ref="A6:A45"/>
    <mergeCell ref="R6:R45"/>
    <mergeCell ref="C7:F7"/>
    <mergeCell ref="H7:J7"/>
    <mergeCell ref="H11:J11"/>
    <mergeCell ref="C12:F12"/>
    <mergeCell ref="H12:J12"/>
    <mergeCell ref="C13:F13"/>
    <mergeCell ref="C19:F19"/>
    <mergeCell ref="H19:J19"/>
    <mergeCell ref="C20:F20"/>
    <mergeCell ref="H20:J20"/>
    <mergeCell ref="C18:F18"/>
    <mergeCell ref="H18:J18"/>
    <mergeCell ref="C11:F11"/>
    <mergeCell ref="H13:J13"/>
    <mergeCell ref="C14:F14"/>
    <mergeCell ref="H14:J14"/>
    <mergeCell ref="C17:F17"/>
    <mergeCell ref="H17:J17"/>
    <mergeCell ref="C8:F8"/>
    <mergeCell ref="H8:J8"/>
    <mergeCell ref="C9:F9"/>
    <mergeCell ref="H9:J9"/>
    <mergeCell ref="C10:F10"/>
    <mergeCell ref="H10:J10"/>
    <mergeCell ref="C22:O22"/>
    <mergeCell ref="C25:L25"/>
    <mergeCell ref="T25:AC25"/>
    <mergeCell ref="C26:N26"/>
    <mergeCell ref="T26:AE31"/>
    <mergeCell ref="T22:AF22"/>
    <mergeCell ref="AF26:AF31"/>
    <mergeCell ref="C27:N27"/>
    <mergeCell ref="C28:N28"/>
    <mergeCell ref="C29:N29"/>
    <mergeCell ref="C30:N30"/>
    <mergeCell ref="C31:N31"/>
    <mergeCell ref="D34:O34"/>
    <mergeCell ref="U34:AF34"/>
    <mergeCell ref="D35:O35"/>
    <mergeCell ref="U35:AF35"/>
    <mergeCell ref="D36:O36"/>
    <mergeCell ref="U36:AF36"/>
    <mergeCell ref="M37:N37"/>
    <mergeCell ref="U37:AC37"/>
    <mergeCell ref="AD37:AE37"/>
    <mergeCell ref="D38:L38"/>
    <mergeCell ref="M38:N38"/>
    <mergeCell ref="U38:AC38"/>
    <mergeCell ref="AD38:AE38"/>
    <mergeCell ref="AE7:AF7"/>
    <mergeCell ref="AE8:AF20"/>
    <mergeCell ref="C45:O45"/>
    <mergeCell ref="T45:AF45"/>
    <mergeCell ref="D39:L39"/>
    <mergeCell ref="M39:N39"/>
    <mergeCell ref="U39:AC39"/>
    <mergeCell ref="AD39:AE39"/>
    <mergeCell ref="C40:O40"/>
    <mergeCell ref="T40:AF40"/>
    <mergeCell ref="C42:E42"/>
    <mergeCell ref="H42:O42"/>
    <mergeCell ref="T42:V42"/>
    <mergeCell ref="Y42:AF42"/>
    <mergeCell ref="W43:AF43"/>
    <mergeCell ref="D37:L37"/>
    <mergeCell ref="N8:O20"/>
    <mergeCell ref="L7:M7"/>
    <mergeCell ref="N7:O7"/>
    <mergeCell ref="AC8:AD20"/>
    <mergeCell ref="AC7:AD7"/>
    <mergeCell ref="S7:AB20"/>
    <mergeCell ref="L8:M20"/>
  </mergeCells>
  <conditionalFormatting sqref="D38">
    <cfRule type="cellIs" dxfId="31" priority="13" operator="equal">
      <formula>"Welche Maßnahmen wurde eingeführt, um ein erneutes Auftreten zu verhindern?"</formula>
    </cfRule>
    <cfRule type="cellIs" dxfId="30" priority="15" operator="equal">
      <formula>"Welche Maßnahme wurde eingeführt, um ein erneutes Auftreten zu verhindern?"</formula>
    </cfRule>
  </conditionalFormatting>
  <conditionalFormatting sqref="F42:G44">
    <cfRule type="cellIs" dxfId="29" priority="14" operator="equal">
      <formula>"(Falls nötig können hier weitere Informationen vermerkt werden)"</formula>
    </cfRule>
  </conditionalFormatting>
  <conditionalFormatting sqref="F44:P44 P45 F42:G43">
    <cfRule type="cellIs" dxfId="28" priority="12" operator="equal">
      <formula>"(Falls nötig können hier weitere Informationen vermerkt werden)"</formula>
    </cfRule>
  </conditionalFormatting>
  <conditionalFormatting sqref="D39">
    <cfRule type="cellIs" dxfId="27" priority="11" operator="equal">
      <formula>"Welche Maßnahmen wurde eingeführt, damit das Problem immer entdeckt wird?"</formula>
    </cfRule>
  </conditionalFormatting>
  <conditionalFormatting sqref="U38">
    <cfRule type="cellIs" dxfId="26" priority="3" operator="equal">
      <formula>"Welche Maßnahmen wurde eingeführt, um ein erneutes Auftreten zu verhindern?"</formula>
    </cfRule>
    <cfRule type="cellIs" dxfId="25" priority="5" operator="equal">
      <formula>"Welche Maßnahme wurde eingeführt, um ein erneutes Auftreten zu verhindern?"</formula>
    </cfRule>
  </conditionalFormatting>
  <conditionalFormatting sqref="W42:X42 W44:X44 W43">
    <cfRule type="cellIs" dxfId="24" priority="4" operator="equal">
      <formula>"(Falls nötig können hier weitere Informationen vermerkt werden)"</formula>
    </cfRule>
  </conditionalFormatting>
  <conditionalFormatting sqref="W44:AG44 AG45 W42:X42 W43">
    <cfRule type="cellIs" dxfId="23" priority="2" operator="equal">
      <formula>"(Falls nötig können hier weitere Informationen vermerkt werden)"</formula>
    </cfRule>
  </conditionalFormatting>
  <conditionalFormatting sqref="U39">
    <cfRule type="cellIs" dxfId="22" priority="1" operator="equal">
      <formula>"Welche Maßnahmen wurde eingeführt, damit das Problem immer entdeckt wird?"</formula>
    </cfRule>
  </conditionalFormatting>
  <dataValidations count="1">
    <dataValidation type="list" allowBlank="1" showInputMessage="1" showErrorMessage="1" sqref="D43 U43" xr:uid="{B8259F54-2425-4CBB-B143-D1DE7B0CB0D8}">
      <formula1>"Ja,Nein"</formula1>
    </dataValidation>
  </dataValidations>
  <hyperlinks>
    <hyperlink ref="C20" r:id="rId1" display="Max.Mustermann@musterbau.com" xr:uid="{5D60F57C-571A-4BA0-BD75-01B409AE7180}"/>
  </hyperlinks>
  <pageMargins left="0.70866141732283472" right="0.70866141732283472" top="0.78740157480314965" bottom="0.78740157480314965" header="0.31496062992125984" footer="0.51181102362204722"/>
  <pageSetup paperSize="9" scale="58" fitToWidth="2" orientation="portrait" r:id="rId2"/>
  <headerFooter>
    <oddFooter>&amp;LErstellt: Pliet
Geprüft: Große Kintrup&amp;CFreigegeben: Große Kintrup&amp;RFOR-22-001-V02
gültig ab 01.04.2023</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049" r:id="rId5" name="Drop Down 1">
              <controlPr defaultSize="0" autoLine="0" autoPict="0">
                <anchor moveWithCells="1">
                  <from>
                    <xdr:col>14</xdr:col>
                    <xdr:colOff>28575</xdr:colOff>
                    <xdr:row>0</xdr:row>
                    <xdr:rowOff>171450</xdr:rowOff>
                  </from>
                  <to>
                    <xdr:col>14</xdr:col>
                    <xdr:colOff>800100</xdr:colOff>
                    <xdr:row>1</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ADD4E-EE90-4DB3-9D23-D7F1DA07AD41}">
  <sheetPr codeName="Tabelle3">
    <tabColor rgb="FF0070C0"/>
  </sheetPr>
  <dimension ref="A1:AG53"/>
  <sheetViews>
    <sheetView view="pageLayout" zoomScale="90" zoomScaleNormal="115" zoomScalePageLayoutView="90" workbookViewId="0">
      <selection activeCell="C22" sqref="C22:O22"/>
    </sheetView>
  </sheetViews>
  <sheetFormatPr baseColWidth="10" defaultColWidth="0" defaultRowHeight="15" x14ac:dyDescent="0.25"/>
  <cols>
    <col min="1" max="1" width="4.5703125" style="1" customWidth="1"/>
    <col min="2" max="2" width="0.7109375" style="1" customWidth="1"/>
    <col min="3" max="3" width="3.7109375" style="1" customWidth="1"/>
    <col min="4" max="5" width="11.85546875" style="1" customWidth="1"/>
    <col min="6" max="6" width="9.7109375" style="1" customWidth="1"/>
    <col min="7" max="7" width="3" style="1" customWidth="1"/>
    <col min="8" max="8" width="8.5703125" style="1" customWidth="1"/>
    <col min="9" max="9" width="9.7109375" style="1" customWidth="1"/>
    <col min="10" max="10" width="11.42578125" style="1" customWidth="1"/>
    <col min="11" max="11" width="1" style="1" customWidth="1"/>
    <col min="12" max="12" width="4" style="1" customWidth="1"/>
    <col min="13" max="13" width="32.28515625" style="1" customWidth="1"/>
    <col min="14" max="14" width="12.42578125" style="1" customWidth="1"/>
    <col min="15" max="15" width="23.5703125" style="1" customWidth="1"/>
    <col min="16" max="16" width="1.28515625" style="1" customWidth="1"/>
    <col min="17" max="17" width="0.5703125" style="1" customWidth="1"/>
    <col min="18" max="18" width="2.5703125" style="1" customWidth="1"/>
    <col min="19" max="19" width="0.7109375" style="1" customWidth="1"/>
    <col min="20" max="20" width="3.28515625" style="1" customWidth="1"/>
    <col min="21" max="22" width="11.7109375" style="1" customWidth="1"/>
    <col min="23" max="23" width="9.5703125" style="1" customWidth="1"/>
    <col min="24" max="24" width="1.7109375" style="1" customWidth="1"/>
    <col min="25" max="25" width="8.5703125" style="1" customWidth="1"/>
    <col min="26" max="26" width="9.7109375" style="1" customWidth="1"/>
    <col min="27" max="27" width="11.42578125" style="1" customWidth="1"/>
    <col min="28" max="28" width="0.5703125" style="1" customWidth="1"/>
    <col min="29" max="29" width="4.28515625" style="1" customWidth="1"/>
    <col min="30" max="30" width="28.5703125" style="1" customWidth="1"/>
    <col min="31" max="31" width="14.85546875" style="1" customWidth="1"/>
    <col min="32" max="32" width="18.42578125" style="1" customWidth="1"/>
    <col min="33" max="33" width="0.7109375" style="1" customWidth="1"/>
    <col min="34" max="16384" width="0" style="1" hidden="1"/>
  </cols>
  <sheetData>
    <row r="1" spans="1:33" s="2" customFormat="1" x14ac:dyDescent="0.25"/>
    <row r="2" spans="1:33" ht="25.5" customHeight="1" x14ac:dyDescent="0.25">
      <c r="A2" s="305"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B2" s="305"/>
      <c r="C2" s="305"/>
      <c r="D2" s="305"/>
      <c r="E2" s="305"/>
      <c r="F2" s="305"/>
      <c r="G2" s="305"/>
      <c r="H2" s="305"/>
      <c r="I2" s="305"/>
      <c r="J2" s="305"/>
      <c r="K2" s="305"/>
      <c r="L2" s="305"/>
      <c r="M2" s="307" t="str">
        <f>VLOOKUP(98,Language!C3:AI200,Language!$B$2+1,FALSE)</f>
        <v>Sprache/ Language/ Jazyk:</v>
      </c>
      <c r="N2" s="307"/>
      <c r="O2" s="4"/>
      <c r="P2" s="4"/>
      <c r="R2" s="162"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S2" s="163"/>
      <c r="T2" s="163"/>
      <c r="U2" s="163"/>
      <c r="V2" s="163"/>
      <c r="W2" s="163"/>
      <c r="X2" s="163"/>
      <c r="Y2" s="163"/>
      <c r="Z2" s="163"/>
      <c r="AA2" s="163"/>
      <c r="AB2" s="163"/>
      <c r="AC2" s="163"/>
      <c r="AD2" s="163"/>
      <c r="AE2" s="254"/>
      <c r="AF2" s="254"/>
      <c r="AG2" s="4"/>
    </row>
    <row r="3" spans="1:33" ht="32.25" customHeight="1" thickBot="1" x14ac:dyDescent="0.3">
      <c r="A3" s="306"/>
      <c r="B3" s="306"/>
      <c r="C3" s="306"/>
      <c r="D3" s="306"/>
      <c r="E3" s="306"/>
      <c r="F3" s="306"/>
      <c r="G3" s="306"/>
      <c r="H3" s="306"/>
      <c r="I3" s="306"/>
      <c r="J3" s="306"/>
      <c r="K3" s="306"/>
      <c r="L3" s="306"/>
      <c r="M3" s="140"/>
      <c r="N3" s="4"/>
      <c r="O3" s="4"/>
      <c r="P3" s="4"/>
      <c r="R3" s="164"/>
      <c r="S3" s="165"/>
      <c r="T3" s="165"/>
      <c r="U3" s="165"/>
      <c r="V3" s="165"/>
      <c r="W3" s="165"/>
      <c r="X3" s="165"/>
      <c r="Y3" s="165"/>
      <c r="Z3" s="165"/>
      <c r="AA3" s="165"/>
      <c r="AB3" s="165"/>
      <c r="AC3" s="165"/>
      <c r="AD3" s="165"/>
      <c r="AE3" s="301"/>
      <c r="AF3" s="301"/>
      <c r="AG3" s="4"/>
    </row>
    <row r="4" spans="1:33" s="116" customFormat="1" ht="18.75" customHeight="1" x14ac:dyDescent="0.25">
      <c r="A4" s="166" t="str">
        <f>VLOOKUP(2,Language!C3:AI68,Language!$B$2+1,FALSE)</f>
        <v xml:space="preserve"> Lieferanten WH-A4 Problemlösungsformular</v>
      </c>
      <c r="B4" s="167"/>
      <c r="C4" s="168"/>
      <c r="D4" s="168"/>
      <c r="E4" s="168"/>
      <c r="F4" s="168"/>
      <c r="G4" s="168"/>
      <c r="H4" s="168"/>
      <c r="I4" s="168"/>
      <c r="J4" s="169"/>
      <c r="K4" s="7"/>
      <c r="L4" s="173" t="str">
        <f>VLOOKUP(3,Language!C3:AI68,Language!$B$2+1,FALSE)</f>
        <v>Mängelbericht Nr.</v>
      </c>
      <c r="M4" s="173"/>
      <c r="N4" s="173"/>
      <c r="O4" s="174"/>
      <c r="P4" s="8"/>
      <c r="Q4" s="114"/>
      <c r="R4" s="261" t="str">
        <f>VLOOKUP(2,Language!C3:AI68,Language!$B$2+1,FALSE)</f>
        <v xml:space="preserve"> Lieferanten WH-A4 Problemlösungsformular</v>
      </c>
      <c r="S4" s="262"/>
      <c r="T4" s="262"/>
      <c r="U4" s="262"/>
      <c r="V4" s="262"/>
      <c r="W4" s="262"/>
      <c r="X4" s="262"/>
      <c r="Y4" s="262"/>
      <c r="Z4" s="262"/>
      <c r="AA4" s="263"/>
      <c r="AB4" s="58"/>
      <c r="AC4" s="267" t="str">
        <f>VLOOKUP(3,Language!C3:AI68,Language!$B$2+1,FALSE)</f>
        <v>Mängelbericht Nr.</v>
      </c>
      <c r="AD4" s="267"/>
      <c r="AE4" s="268"/>
      <c r="AF4" s="268"/>
      <c r="AG4" s="59"/>
    </row>
    <row r="5" spans="1:33" ht="27" customHeight="1" thickBot="1" x14ac:dyDescent="0.3">
      <c r="A5" s="170"/>
      <c r="B5" s="171"/>
      <c r="C5" s="171"/>
      <c r="D5" s="171"/>
      <c r="E5" s="171"/>
      <c r="F5" s="171"/>
      <c r="G5" s="171"/>
      <c r="H5" s="171"/>
      <c r="I5" s="171"/>
      <c r="J5" s="172"/>
      <c r="K5" s="10"/>
      <c r="L5" s="299">
        <v>220138273</v>
      </c>
      <c r="M5" s="299"/>
      <c r="N5" s="299"/>
      <c r="O5" s="300"/>
      <c r="P5" s="9"/>
      <c r="Q5" s="114"/>
      <c r="R5" s="264"/>
      <c r="S5" s="265"/>
      <c r="T5" s="265"/>
      <c r="U5" s="265"/>
      <c r="V5" s="265"/>
      <c r="W5" s="265"/>
      <c r="X5" s="265"/>
      <c r="Y5" s="265"/>
      <c r="Z5" s="265"/>
      <c r="AA5" s="266"/>
      <c r="AB5" s="60"/>
      <c r="AC5" s="269" t="str">
        <f>VLOOKUP(31,Language!C3:AI68,Language!$B$2+1,FALSE)</f>
        <v>Hier Mängelberichtsnummer aus dem W&amp;H Mängelbericht eintragen.</v>
      </c>
      <c r="AD5" s="270"/>
      <c r="AE5" s="270"/>
      <c r="AF5" s="271"/>
      <c r="AG5" s="61"/>
    </row>
    <row r="6" spans="1:33" ht="5.25" customHeight="1" x14ac:dyDescent="0.25">
      <c r="A6" s="179" t="str">
        <f>VLOOKUP(23,Language!C3:AI68,Language!$B$2+1,FALSE)</f>
        <v>Lieferant</v>
      </c>
      <c r="B6" s="7"/>
      <c r="C6" s="7"/>
      <c r="D6" s="7"/>
      <c r="E6" s="7"/>
      <c r="F6" s="7"/>
      <c r="G6" s="7"/>
      <c r="H6" s="7"/>
      <c r="I6" s="7"/>
      <c r="J6" s="7"/>
      <c r="K6" s="7"/>
      <c r="L6" s="11"/>
      <c r="M6" s="11"/>
      <c r="N6" s="11"/>
      <c r="O6" s="7"/>
      <c r="P6" s="12"/>
      <c r="Q6" s="114"/>
      <c r="R6" s="272" t="str">
        <f>VLOOKUP(23,Language!C3:AI68,Language!$B$2+1,FALSE)</f>
        <v>Lieferant</v>
      </c>
      <c r="S6" s="58"/>
      <c r="T6" s="58"/>
      <c r="U6" s="58"/>
      <c r="V6" s="58"/>
      <c r="W6" s="58"/>
      <c r="X6" s="58"/>
      <c r="Y6" s="58"/>
      <c r="Z6" s="58"/>
      <c r="AA6" s="58"/>
      <c r="AB6" s="58"/>
      <c r="AC6" s="62"/>
      <c r="AD6" s="62"/>
      <c r="AE6" s="62"/>
      <c r="AF6" s="58"/>
      <c r="AG6" s="63"/>
    </row>
    <row r="7" spans="1:33" ht="16.5" customHeight="1" x14ac:dyDescent="0.25">
      <c r="A7" s="180"/>
      <c r="B7" s="13"/>
      <c r="C7" s="181" t="str">
        <f>VLOOKUP(4,Language!C3:AI68,Language!$B$2+1,FALSE)</f>
        <v>Firmenname</v>
      </c>
      <c r="D7" s="181"/>
      <c r="E7" s="181"/>
      <c r="F7" s="181"/>
      <c r="G7" s="132"/>
      <c r="H7" s="178" t="str">
        <f>VLOOKUP(5,Language!C3:AI68,Language!$B$2+1,FALSE)</f>
        <v>Datum</v>
      </c>
      <c r="I7" s="178"/>
      <c r="J7" s="178"/>
      <c r="K7" s="3"/>
      <c r="L7" s="183" t="str">
        <f>VLOOKUP(11,Language!C3:AI68,Language!$B$2+1,FALSE)</f>
        <v>IST (Foto)</v>
      </c>
      <c r="M7" s="184"/>
      <c r="N7" s="183" t="str">
        <f>VLOOKUP(12,Language!C3:AI68,Language!$B$2+1,FALSE)</f>
        <v>SOLL (Foto)</v>
      </c>
      <c r="O7" s="184"/>
      <c r="P7" s="14"/>
      <c r="Q7" s="114"/>
      <c r="R7" s="273"/>
      <c r="S7" s="274" t="str">
        <f>VLOOKUP(32,Language!C3:AI68,Language!$B$2+1,FALSE)</f>
        <v>Kopfdaten WH-A4 Formular:
Alle weißen Felder müssen vollständig ausgefüllt werden.
Im nebenstehenden linken Feld ist ein Foto von der Ist-Situation (Bauteil mit Problem) einzutragen.
Im nebenstehenden rechten Feld ist ein Foto von der Soll-Situation (Bauteil ohne Problem) einzutragen.
Es reicht aus, wenn nur der vom Problem betroffene Bereich fotografiert wird.</v>
      </c>
      <c r="T7" s="275"/>
      <c r="U7" s="275"/>
      <c r="V7" s="275"/>
      <c r="W7" s="275"/>
      <c r="X7" s="275"/>
      <c r="Y7" s="275"/>
      <c r="Z7" s="275"/>
      <c r="AA7" s="275"/>
      <c r="AB7" s="275"/>
      <c r="AC7" s="214" t="str">
        <f>VLOOKUP(11,Language!C3:AI68,Language!$B$2+1,FALSE)</f>
        <v>IST (Foto)</v>
      </c>
      <c r="AD7" s="215"/>
      <c r="AE7" s="214" t="str">
        <f>VLOOKUP(12,Language!C3:AI68,Language!$B$2+1,FALSE)</f>
        <v>SOLL (Foto)</v>
      </c>
      <c r="AF7" s="215"/>
      <c r="AG7" s="66"/>
    </row>
    <row r="8" spans="1:33" s="2" customFormat="1" ht="16.5" customHeight="1" x14ac:dyDescent="0.25">
      <c r="A8" s="180"/>
      <c r="B8" s="15"/>
      <c r="C8" s="283" t="s">
        <v>63</v>
      </c>
      <c r="D8" s="283"/>
      <c r="E8" s="283"/>
      <c r="F8" s="283"/>
      <c r="G8" s="108"/>
      <c r="H8" s="295">
        <f>VLOOKUP(65,Language!C3:AI68,Language!$B$2+1,FALSE)</f>
        <v>44502</v>
      </c>
      <c r="I8" s="294"/>
      <c r="J8" s="294"/>
      <c r="K8" s="3"/>
      <c r="L8" s="281"/>
      <c r="M8" s="282"/>
      <c r="N8" s="279"/>
      <c r="O8" s="280"/>
      <c r="P8" s="16"/>
      <c r="Q8" s="115"/>
      <c r="R8" s="273"/>
      <c r="S8" s="274"/>
      <c r="T8" s="275"/>
      <c r="U8" s="275"/>
      <c r="V8" s="275"/>
      <c r="W8" s="275"/>
      <c r="X8" s="275"/>
      <c r="Y8" s="275"/>
      <c r="Z8" s="275"/>
      <c r="AA8" s="275"/>
      <c r="AB8" s="276"/>
      <c r="AC8" s="235"/>
      <c r="AD8" s="236"/>
      <c r="AE8" s="237"/>
      <c r="AF8" s="236"/>
      <c r="AG8" s="113"/>
    </row>
    <row r="9" spans="1:33" ht="16.5" customHeight="1" x14ac:dyDescent="0.25">
      <c r="A9" s="180"/>
      <c r="B9" s="15"/>
      <c r="C9" s="177" t="str">
        <f>VLOOKUP(6,Language!C3:AI68,Language!$B$2+1,FALSE)</f>
        <v>Materialbezeichnung</v>
      </c>
      <c r="D9" s="177"/>
      <c r="E9" s="177"/>
      <c r="F9" s="177"/>
      <c r="G9" s="133"/>
      <c r="H9" s="219" t="str">
        <f>VLOOKUP(7,Language!C3:AI68,Language!$B$2+1,FALSE)</f>
        <v>W&amp;H Materialnummer</v>
      </c>
      <c r="I9" s="178"/>
      <c r="J9" s="178"/>
      <c r="K9" s="17"/>
      <c r="L9" s="282"/>
      <c r="M9" s="282"/>
      <c r="N9" s="280"/>
      <c r="O9" s="280"/>
      <c r="P9" s="16"/>
      <c r="Q9" s="114"/>
      <c r="R9" s="273"/>
      <c r="S9" s="274"/>
      <c r="T9" s="275"/>
      <c r="U9" s="275"/>
      <c r="V9" s="275"/>
      <c r="W9" s="275"/>
      <c r="X9" s="275"/>
      <c r="Y9" s="275"/>
      <c r="Z9" s="275"/>
      <c r="AA9" s="275"/>
      <c r="AB9" s="276"/>
      <c r="AC9" s="236"/>
      <c r="AD9" s="236"/>
      <c r="AE9" s="236"/>
      <c r="AF9" s="236"/>
      <c r="AG9" s="113"/>
    </row>
    <row r="10" spans="1:33" ht="16.5" customHeight="1" x14ac:dyDescent="0.25">
      <c r="A10" s="180"/>
      <c r="B10" s="15"/>
      <c r="C10" s="294" t="str">
        <f>VLOOKUP(66,Language!C3:AI68,Language!$B$2+1,FALSE)</f>
        <v>Gerätesteuerung BS</v>
      </c>
      <c r="D10" s="294"/>
      <c r="E10" s="294"/>
      <c r="F10" s="294"/>
      <c r="G10" s="108"/>
      <c r="H10" s="220">
        <v>35035690</v>
      </c>
      <c r="I10" s="294"/>
      <c r="J10" s="294"/>
      <c r="K10" s="18"/>
      <c r="L10" s="282"/>
      <c r="M10" s="282"/>
      <c r="N10" s="280"/>
      <c r="O10" s="280"/>
      <c r="P10" s="16"/>
      <c r="Q10" s="114"/>
      <c r="R10" s="273"/>
      <c r="S10" s="274"/>
      <c r="T10" s="275"/>
      <c r="U10" s="275"/>
      <c r="V10" s="275"/>
      <c r="W10" s="275"/>
      <c r="X10" s="275"/>
      <c r="Y10" s="275"/>
      <c r="Z10" s="275"/>
      <c r="AA10" s="275"/>
      <c r="AB10" s="276"/>
      <c r="AC10" s="236"/>
      <c r="AD10" s="236"/>
      <c r="AE10" s="236"/>
      <c r="AF10" s="236"/>
      <c r="AG10" s="113"/>
    </row>
    <row r="11" spans="1:33" s="2" customFormat="1" ht="16.5" customHeight="1" x14ac:dyDescent="0.25">
      <c r="A11" s="180"/>
      <c r="B11" s="15"/>
      <c r="C11" s="177" t="str">
        <f>VLOOKUP(8,Language!C3:AI68,Language!$B$2+1,FALSE)</f>
        <v>gelieferte Menge</v>
      </c>
      <c r="D11" s="177"/>
      <c r="E11" s="177"/>
      <c r="F11" s="177"/>
      <c r="G11" s="132"/>
      <c r="H11" s="178" t="str">
        <f>VLOOKUP(9,Language!C3:AI68,Language!$B$2+1,FALSE)</f>
        <v>reklamierte Menge</v>
      </c>
      <c r="I11" s="178"/>
      <c r="J11" s="178"/>
      <c r="K11" s="3"/>
      <c r="L11" s="282"/>
      <c r="M11" s="282"/>
      <c r="N11" s="280"/>
      <c r="O11" s="280"/>
      <c r="P11" s="16"/>
      <c r="Q11" s="115"/>
      <c r="R11" s="273"/>
      <c r="S11" s="274"/>
      <c r="T11" s="275"/>
      <c r="U11" s="275"/>
      <c r="V11" s="275"/>
      <c r="W11" s="275"/>
      <c r="X11" s="275"/>
      <c r="Y11" s="275"/>
      <c r="Z11" s="275"/>
      <c r="AA11" s="275"/>
      <c r="AB11" s="276"/>
      <c r="AC11" s="236"/>
      <c r="AD11" s="236"/>
      <c r="AE11" s="236"/>
      <c r="AF11" s="236"/>
      <c r="AG11" s="113"/>
    </row>
    <row r="12" spans="1:33" ht="16.5" customHeight="1" x14ac:dyDescent="0.25">
      <c r="A12" s="180"/>
      <c r="B12" s="15"/>
      <c r="C12" s="182">
        <v>5</v>
      </c>
      <c r="D12" s="294"/>
      <c r="E12" s="294"/>
      <c r="F12" s="294"/>
      <c r="G12" s="112"/>
      <c r="H12" s="294">
        <v>3</v>
      </c>
      <c r="I12" s="294"/>
      <c r="J12" s="294"/>
      <c r="K12" s="17"/>
      <c r="L12" s="282"/>
      <c r="M12" s="282"/>
      <c r="N12" s="280"/>
      <c r="O12" s="280"/>
      <c r="P12" s="16"/>
      <c r="Q12" s="114"/>
      <c r="R12" s="273"/>
      <c r="S12" s="274"/>
      <c r="T12" s="275"/>
      <c r="U12" s="275"/>
      <c r="V12" s="275"/>
      <c r="W12" s="275"/>
      <c r="X12" s="275"/>
      <c r="Y12" s="275"/>
      <c r="Z12" s="275"/>
      <c r="AA12" s="275"/>
      <c r="AB12" s="276"/>
      <c r="AC12" s="236"/>
      <c r="AD12" s="236"/>
      <c r="AE12" s="236"/>
      <c r="AF12" s="236"/>
      <c r="AG12" s="113"/>
    </row>
    <row r="13" spans="1:33" ht="16.5" customHeight="1" x14ac:dyDescent="0.25">
      <c r="A13" s="180"/>
      <c r="B13" s="15"/>
      <c r="C13" s="177" t="str">
        <f>VLOOKUP(10,Language!C3:AI68,Language!$B$2+1,FALSE)</f>
        <v>Produktionsdatum / Zeitraum</v>
      </c>
      <c r="D13" s="177"/>
      <c r="E13" s="177"/>
      <c r="F13" s="177"/>
      <c r="G13" s="112"/>
      <c r="H13" s="188"/>
      <c r="I13" s="188"/>
      <c r="J13" s="188"/>
      <c r="K13" s="17"/>
      <c r="L13" s="282"/>
      <c r="M13" s="282"/>
      <c r="N13" s="280"/>
      <c r="O13" s="280"/>
      <c r="P13" s="16"/>
      <c r="Q13" s="114"/>
      <c r="R13" s="273"/>
      <c r="S13" s="274"/>
      <c r="T13" s="275"/>
      <c r="U13" s="275"/>
      <c r="V13" s="275"/>
      <c r="W13" s="275"/>
      <c r="X13" s="275"/>
      <c r="Y13" s="275"/>
      <c r="Z13" s="275"/>
      <c r="AA13" s="275"/>
      <c r="AB13" s="276"/>
      <c r="AC13" s="236"/>
      <c r="AD13" s="236"/>
      <c r="AE13" s="236"/>
      <c r="AF13" s="236"/>
      <c r="AG13" s="113"/>
    </row>
    <row r="14" spans="1:33" ht="16.5" customHeight="1" x14ac:dyDescent="0.25">
      <c r="A14" s="180"/>
      <c r="B14" s="15"/>
      <c r="C14" s="217" t="str">
        <f>VLOOKUP(67,Language!C3:AI200,Language!$B$2+1,FALSE)</f>
        <v>01.09.2021 - 24.09.2021</v>
      </c>
      <c r="D14" s="295"/>
      <c r="E14" s="295"/>
      <c r="F14" s="295"/>
      <c r="G14" s="112"/>
      <c r="H14" s="221"/>
      <c r="I14" s="188"/>
      <c r="J14" s="188"/>
      <c r="K14" s="19"/>
      <c r="L14" s="282"/>
      <c r="M14" s="282"/>
      <c r="N14" s="280"/>
      <c r="O14" s="280"/>
      <c r="P14" s="16"/>
      <c r="Q14" s="114"/>
      <c r="R14" s="273"/>
      <c r="S14" s="274"/>
      <c r="T14" s="275"/>
      <c r="U14" s="275"/>
      <c r="V14" s="275"/>
      <c r="W14" s="275"/>
      <c r="X14" s="275"/>
      <c r="Y14" s="275"/>
      <c r="Z14" s="275"/>
      <c r="AA14" s="275"/>
      <c r="AB14" s="276"/>
      <c r="AC14" s="236"/>
      <c r="AD14" s="236"/>
      <c r="AE14" s="236"/>
      <c r="AF14" s="236"/>
      <c r="AG14" s="113"/>
    </row>
    <row r="15" spans="1:33" ht="4.5" customHeight="1" x14ac:dyDescent="0.25">
      <c r="A15" s="180"/>
      <c r="B15" s="15"/>
      <c r="C15" s="110"/>
      <c r="D15" s="110"/>
      <c r="E15" s="110"/>
      <c r="F15" s="110"/>
      <c r="G15" s="110"/>
      <c r="H15" s="110"/>
      <c r="I15" s="108"/>
      <c r="J15" s="108"/>
      <c r="K15" s="19"/>
      <c r="L15" s="282"/>
      <c r="M15" s="282"/>
      <c r="N15" s="280"/>
      <c r="O15" s="280"/>
      <c r="P15" s="16"/>
      <c r="Q15" s="114"/>
      <c r="R15" s="273"/>
      <c r="S15" s="274"/>
      <c r="T15" s="275"/>
      <c r="U15" s="275"/>
      <c r="V15" s="275"/>
      <c r="W15" s="275"/>
      <c r="X15" s="275"/>
      <c r="Y15" s="275"/>
      <c r="Z15" s="275"/>
      <c r="AA15" s="275"/>
      <c r="AB15" s="276"/>
      <c r="AC15" s="236"/>
      <c r="AD15" s="236"/>
      <c r="AE15" s="236"/>
      <c r="AF15" s="236"/>
      <c r="AG15" s="113"/>
    </row>
    <row r="16" spans="1:33" ht="4.5" customHeight="1" thickBot="1" x14ac:dyDescent="0.3">
      <c r="A16" s="180"/>
      <c r="B16" s="24"/>
      <c r="C16" s="25"/>
      <c r="D16" s="25"/>
      <c r="E16" s="25"/>
      <c r="F16" s="25"/>
      <c r="G16" s="25"/>
      <c r="H16" s="25"/>
      <c r="I16" s="54"/>
      <c r="J16" s="54"/>
      <c r="K16" s="55"/>
      <c r="L16" s="282"/>
      <c r="M16" s="282"/>
      <c r="N16" s="280"/>
      <c r="O16" s="280"/>
      <c r="P16" s="16"/>
      <c r="Q16" s="114"/>
      <c r="R16" s="273"/>
      <c r="S16" s="274"/>
      <c r="T16" s="275"/>
      <c r="U16" s="275"/>
      <c r="V16" s="275"/>
      <c r="W16" s="275"/>
      <c r="X16" s="275"/>
      <c r="Y16" s="275"/>
      <c r="Z16" s="275"/>
      <c r="AA16" s="275"/>
      <c r="AB16" s="276"/>
      <c r="AC16" s="236"/>
      <c r="AD16" s="236"/>
      <c r="AE16" s="236"/>
      <c r="AF16" s="236"/>
      <c r="AG16" s="113"/>
    </row>
    <row r="17" spans="1:33" ht="16.5" customHeight="1" x14ac:dyDescent="0.25">
      <c r="A17" s="180"/>
      <c r="B17" s="15"/>
      <c r="C17" s="185" t="str">
        <f>VLOOKUP(13,Language!C3:AI68,Language!$B$2+1,FALSE)</f>
        <v>Name, Vorname Ansprechpartner</v>
      </c>
      <c r="D17" s="178"/>
      <c r="E17" s="178"/>
      <c r="F17" s="178"/>
      <c r="G17" s="133"/>
      <c r="H17" s="178" t="str">
        <f>VLOOKUP(14,Language!C3:AI68,Language!$B$2+1,FALSE)</f>
        <v>Abteilung</v>
      </c>
      <c r="I17" s="178"/>
      <c r="J17" s="178"/>
      <c r="K17" s="19"/>
      <c r="L17" s="282"/>
      <c r="M17" s="282"/>
      <c r="N17" s="280"/>
      <c r="O17" s="280"/>
      <c r="P17" s="16"/>
      <c r="Q17" s="114"/>
      <c r="R17" s="273"/>
      <c r="S17" s="274"/>
      <c r="T17" s="275"/>
      <c r="U17" s="275"/>
      <c r="V17" s="275"/>
      <c r="W17" s="275"/>
      <c r="X17" s="275"/>
      <c r="Y17" s="275"/>
      <c r="Z17" s="275"/>
      <c r="AA17" s="275"/>
      <c r="AB17" s="276"/>
      <c r="AC17" s="236"/>
      <c r="AD17" s="236"/>
      <c r="AE17" s="236"/>
      <c r="AF17" s="236"/>
      <c r="AG17" s="113"/>
    </row>
    <row r="18" spans="1:33" ht="16.5" customHeight="1" x14ac:dyDescent="0.25">
      <c r="A18" s="180"/>
      <c r="B18" s="15"/>
      <c r="C18" s="217" t="s">
        <v>21</v>
      </c>
      <c r="D18" s="294"/>
      <c r="E18" s="294"/>
      <c r="F18" s="294"/>
      <c r="G18" s="112"/>
      <c r="H18" s="283" t="str">
        <f>VLOOKUP(50,Language!C3:AI68,Language!$B$2+1,FALSE)</f>
        <v>Qualitätssicherung</v>
      </c>
      <c r="I18" s="294"/>
      <c r="J18" s="294"/>
      <c r="K18" s="109"/>
      <c r="L18" s="282"/>
      <c r="M18" s="282"/>
      <c r="N18" s="280"/>
      <c r="O18" s="280"/>
      <c r="P18" s="16"/>
      <c r="Q18" s="114"/>
      <c r="R18" s="273"/>
      <c r="S18" s="274"/>
      <c r="T18" s="275"/>
      <c r="U18" s="275"/>
      <c r="V18" s="275"/>
      <c r="W18" s="275"/>
      <c r="X18" s="275"/>
      <c r="Y18" s="275"/>
      <c r="Z18" s="275"/>
      <c r="AA18" s="275"/>
      <c r="AB18" s="276"/>
      <c r="AC18" s="236"/>
      <c r="AD18" s="236"/>
      <c r="AE18" s="236"/>
      <c r="AF18" s="236"/>
      <c r="AG18" s="113"/>
    </row>
    <row r="19" spans="1:33" ht="16.5" customHeight="1" x14ac:dyDescent="0.25">
      <c r="A19" s="180"/>
      <c r="B19" s="15"/>
      <c r="C19" s="185" t="str">
        <f>VLOOKUP(15,Language!C3:AI68,Language!$B$2+1,FALSE)</f>
        <v>E-Mail</v>
      </c>
      <c r="D19" s="196"/>
      <c r="E19" s="196"/>
      <c r="F19" s="196"/>
      <c r="G19" s="133"/>
      <c r="H19" s="181" t="str">
        <f>VLOOKUP(16,Language!C3:AI68,Language!$B$2+1,FALSE)</f>
        <v>Telefon</v>
      </c>
      <c r="I19" s="178"/>
      <c r="J19" s="178"/>
      <c r="K19" s="109"/>
      <c r="L19" s="282"/>
      <c r="M19" s="282"/>
      <c r="N19" s="280"/>
      <c r="O19" s="280"/>
      <c r="P19" s="16"/>
      <c r="Q19" s="114"/>
      <c r="R19" s="273"/>
      <c r="S19" s="274"/>
      <c r="T19" s="275"/>
      <c r="U19" s="275"/>
      <c r="V19" s="275"/>
      <c r="W19" s="275"/>
      <c r="X19" s="275"/>
      <c r="Y19" s="275"/>
      <c r="Z19" s="275"/>
      <c r="AA19" s="275"/>
      <c r="AB19" s="276"/>
      <c r="AC19" s="236"/>
      <c r="AD19" s="236"/>
      <c r="AE19" s="236"/>
      <c r="AF19" s="236"/>
      <c r="AG19" s="113"/>
    </row>
    <row r="20" spans="1:33" ht="16.5" customHeight="1" x14ac:dyDescent="0.25">
      <c r="A20" s="180"/>
      <c r="B20" s="15"/>
      <c r="C20" s="197" t="s">
        <v>64</v>
      </c>
      <c r="D20" s="296"/>
      <c r="E20" s="296"/>
      <c r="F20" s="296"/>
      <c r="G20" s="112"/>
      <c r="H20" s="297" t="s">
        <v>62</v>
      </c>
      <c r="I20" s="298"/>
      <c r="J20" s="298"/>
      <c r="K20" s="109"/>
      <c r="L20" s="282"/>
      <c r="M20" s="282"/>
      <c r="N20" s="280"/>
      <c r="O20" s="280"/>
      <c r="P20" s="16"/>
      <c r="Q20" s="114"/>
      <c r="R20" s="273"/>
      <c r="S20" s="274"/>
      <c r="T20" s="275"/>
      <c r="U20" s="275"/>
      <c r="V20" s="275"/>
      <c r="W20" s="275"/>
      <c r="X20" s="275"/>
      <c r="Y20" s="275"/>
      <c r="Z20" s="275"/>
      <c r="AA20" s="275"/>
      <c r="AB20" s="276"/>
      <c r="AC20" s="236"/>
      <c r="AD20" s="236"/>
      <c r="AE20" s="236"/>
      <c r="AF20" s="236"/>
      <c r="AG20" s="113"/>
    </row>
    <row r="21" spans="1:33" ht="16.5" customHeight="1" x14ac:dyDescent="0.25">
      <c r="A21" s="180"/>
      <c r="B21" s="15"/>
      <c r="C21" s="132" t="str">
        <f>VLOOKUP(17,Language!C3:AI68,Language!$B$2+1,FALSE)</f>
        <v>Problembeschreibung aus dem Mängelbericht. Gegebenenfalls genauer beschreiben</v>
      </c>
      <c r="D21" s="108"/>
      <c r="E21" s="20"/>
      <c r="F21" s="21"/>
      <c r="G21" s="21"/>
      <c r="H21" s="110"/>
      <c r="I21" s="108"/>
      <c r="J21" s="20"/>
      <c r="K21" s="20"/>
      <c r="L21" s="22"/>
      <c r="M21" s="22"/>
      <c r="N21" s="22"/>
      <c r="O21" s="22"/>
      <c r="P21" s="16"/>
      <c r="Q21" s="114"/>
      <c r="R21" s="273"/>
      <c r="S21" s="65"/>
      <c r="T21" s="135" t="str">
        <f>VLOOKUP(17,Language!C3:AI68,Language!$B$2+1,FALSE)</f>
        <v>Problembeschreibung aus dem Mängelbericht. Gegebenenfalls genauer beschreiben</v>
      </c>
      <c r="U21" s="67"/>
      <c r="V21" s="71"/>
      <c r="W21" s="72"/>
      <c r="X21" s="72"/>
      <c r="Y21" s="68"/>
      <c r="Z21" s="67"/>
      <c r="AA21" s="71"/>
      <c r="AB21" s="71"/>
      <c r="AC21" s="73"/>
      <c r="AD21" s="73"/>
      <c r="AE21" s="73"/>
      <c r="AF21" s="73"/>
      <c r="AG21" s="66"/>
    </row>
    <row r="22" spans="1:33" ht="58.5" customHeight="1" x14ac:dyDescent="0.25">
      <c r="A22" s="180"/>
      <c r="B22" s="107"/>
      <c r="C22" s="291" t="str">
        <f>VLOOKUP(68,Language!C3:AI200,Language!$B$2+1,FALSE)</f>
        <v>Nach Inbetriebnahme der Gerätesteuerung BS gibt diese den Fehlercode 04 (falsche Codierung) aus.</v>
      </c>
      <c r="D22" s="283"/>
      <c r="E22" s="284"/>
      <c r="F22" s="284"/>
      <c r="G22" s="284"/>
      <c r="H22" s="284"/>
      <c r="I22" s="284"/>
      <c r="J22" s="284"/>
      <c r="K22" s="284"/>
      <c r="L22" s="284"/>
      <c r="M22" s="284"/>
      <c r="N22" s="284"/>
      <c r="O22" s="284"/>
      <c r="P22" s="23"/>
      <c r="Q22" s="114"/>
      <c r="R22" s="273"/>
      <c r="S22" s="105"/>
      <c r="T22" s="277" t="str">
        <f>VLOOKUP(33,Language!C3:AI68,Language!$B$2+1,FALSE)</f>
        <v>Problembeschreibung aus dem Mängelbericht. Gegebenenfalls genauer beschreiben</v>
      </c>
      <c r="U22" s="239"/>
      <c r="V22" s="240"/>
      <c r="W22" s="240"/>
      <c r="X22" s="240"/>
      <c r="Y22" s="240"/>
      <c r="Z22" s="240"/>
      <c r="AA22" s="240"/>
      <c r="AB22" s="240"/>
      <c r="AC22" s="240"/>
      <c r="AD22" s="240"/>
      <c r="AE22" s="240"/>
      <c r="AF22" s="240"/>
      <c r="AG22" s="74"/>
    </row>
    <row r="23" spans="1:33" ht="6.75" customHeight="1" thickBot="1" x14ac:dyDescent="0.3">
      <c r="A23" s="180"/>
      <c r="B23" s="24"/>
      <c r="C23" s="25"/>
      <c r="D23" s="25"/>
      <c r="E23" s="26"/>
      <c r="F23" s="26"/>
      <c r="G23" s="26"/>
      <c r="H23" s="26"/>
      <c r="I23" s="26"/>
      <c r="J23" s="26"/>
      <c r="K23" s="26"/>
      <c r="L23" s="26"/>
      <c r="M23" s="26"/>
      <c r="N23" s="26"/>
      <c r="O23" s="26"/>
      <c r="P23" s="27"/>
      <c r="Q23" s="114"/>
      <c r="R23" s="273"/>
      <c r="S23" s="69"/>
      <c r="T23" s="70"/>
      <c r="U23" s="70"/>
      <c r="V23" s="75"/>
      <c r="W23" s="75"/>
      <c r="X23" s="75"/>
      <c r="Y23" s="75"/>
      <c r="Z23" s="75"/>
      <c r="AA23" s="75"/>
      <c r="AB23" s="75"/>
      <c r="AC23" s="75"/>
      <c r="AD23" s="75"/>
      <c r="AE23" s="75"/>
      <c r="AF23" s="75"/>
      <c r="AG23" s="76"/>
    </row>
    <row r="24" spans="1:33" ht="5.25" customHeight="1" x14ac:dyDescent="0.25">
      <c r="A24" s="180"/>
      <c r="B24" s="28"/>
      <c r="C24" s="29"/>
      <c r="D24" s="29"/>
      <c r="E24" s="30"/>
      <c r="F24" s="30"/>
      <c r="G24" s="30"/>
      <c r="H24" s="30"/>
      <c r="I24" s="30"/>
      <c r="J24" s="30"/>
      <c r="K24" s="30"/>
      <c r="L24" s="30"/>
      <c r="M24" s="30"/>
      <c r="N24" s="30"/>
      <c r="O24" s="30"/>
      <c r="P24" s="31"/>
      <c r="Q24" s="114"/>
      <c r="R24" s="273"/>
      <c r="S24" s="77"/>
      <c r="T24" s="78"/>
      <c r="U24" s="78"/>
      <c r="V24" s="79"/>
      <c r="W24" s="79"/>
      <c r="X24" s="79"/>
      <c r="Y24" s="79"/>
      <c r="Z24" s="79"/>
      <c r="AA24" s="79"/>
      <c r="AB24" s="79"/>
      <c r="AC24" s="79"/>
      <c r="AD24" s="79"/>
      <c r="AE24" s="79"/>
      <c r="AF24" s="79"/>
      <c r="AG24" s="80"/>
    </row>
    <row r="25" spans="1:33" ht="18" customHeight="1" x14ac:dyDescent="0.25">
      <c r="A25" s="180"/>
      <c r="B25" s="15"/>
      <c r="C25" s="178" t="str">
        <f>VLOOKUP(18,Language!C3:AI68,Language!$B$2+1,FALSE)</f>
        <v>Sofortmaßnahmen</v>
      </c>
      <c r="D25" s="178"/>
      <c r="E25" s="178"/>
      <c r="F25" s="178"/>
      <c r="G25" s="178"/>
      <c r="H25" s="178"/>
      <c r="I25" s="178"/>
      <c r="J25" s="178"/>
      <c r="K25" s="178"/>
      <c r="L25" s="178"/>
      <c r="M25" s="108"/>
      <c r="N25" s="108"/>
      <c r="O25" s="134" t="str">
        <f>VLOOKUP(19,Language!C3:AI68,Language!$B$2+1,FALSE)</f>
        <v>Einführungsdatum</v>
      </c>
      <c r="P25" s="32"/>
      <c r="Q25" s="114"/>
      <c r="R25" s="273"/>
      <c r="S25" s="65"/>
      <c r="T25" s="222" t="str">
        <f>VLOOKUP(18,Language!C3:AI68,Language!$B$2+1,FALSE)</f>
        <v>Sofortmaßnahmen</v>
      </c>
      <c r="U25" s="222"/>
      <c r="V25" s="222"/>
      <c r="W25" s="222"/>
      <c r="X25" s="222"/>
      <c r="Y25" s="222"/>
      <c r="Z25" s="222"/>
      <c r="AA25" s="222"/>
      <c r="AB25" s="222"/>
      <c r="AC25" s="222"/>
      <c r="AD25" s="67"/>
      <c r="AE25" s="67"/>
      <c r="AF25" s="136" t="str">
        <f>VLOOKUP(19,Language!C3:AI68,Language!$B$2+1,FALSE)</f>
        <v>Einführungsdatum</v>
      </c>
      <c r="AG25" s="81"/>
    </row>
    <row r="26" spans="1:33" ht="35.25" customHeight="1" x14ac:dyDescent="0.25">
      <c r="A26" s="180"/>
      <c r="B26" s="15"/>
      <c r="C26" s="292" t="str">
        <f>VLOOKUP(69,Language!C3:AI200,Language!$B$2+1,FALSE)</f>
        <v>Lagerbestand kontrollieren - Lagerbestand kontrolliert - 100% gesperrt.</v>
      </c>
      <c r="D26" s="292"/>
      <c r="E26" s="292"/>
      <c r="F26" s="292"/>
      <c r="G26" s="292"/>
      <c r="H26" s="292"/>
      <c r="I26" s="292"/>
      <c r="J26" s="292"/>
      <c r="K26" s="292"/>
      <c r="L26" s="292"/>
      <c r="M26" s="293"/>
      <c r="N26" s="293"/>
      <c r="O26" s="5">
        <f>VLOOKUP(72,Language!C3:AI200,Language!$B$2+1,FALSE)</f>
        <v>44503</v>
      </c>
      <c r="P26" s="33"/>
      <c r="Q26" s="114"/>
      <c r="R26" s="273"/>
      <c r="S26" s="65"/>
      <c r="T26" s="223" t="str">
        <f>VLOOKUP(34,Language!C3:AI68,Language!$B$2+1,FALSE)</f>
        <v>Beispiele für Sofortmaßnahmen:
Sind die zuständigen Mitarbeiter über die Reklamation informiert worden?
Sind fehlerhafte Bauteile gesperrt worden?
Ist sichergestellt, dass die nächste Auslieferung an W&amp;H geprüft wurde und fehlerfrei ist?
Ist eine Warenausgangskontrolle installiert worden?
Sind Lagerbestände vorhanden und müssen diese überprüft werden?
Sind weitere W&amp;H-Bestellungen vorhanden und müssen diese überprüft werden?
Sind ähnliche Materialnummern/ Bauteile betroffen?
Ist die termingerechte Lieferung an W&amp;H sichergestellt?</v>
      </c>
      <c r="U26" s="224"/>
      <c r="V26" s="224"/>
      <c r="W26" s="224"/>
      <c r="X26" s="224"/>
      <c r="Y26" s="224"/>
      <c r="Z26" s="224"/>
      <c r="AA26" s="224"/>
      <c r="AB26" s="224"/>
      <c r="AC26" s="224"/>
      <c r="AD26" s="224"/>
      <c r="AE26" s="225"/>
      <c r="AF26" s="232" t="str">
        <f>VLOOKUP(35,Language!C3:AI68,Language!$B$2+1,FALSE)</f>
        <v>Wann wurde die 
Sofortmaßnahme eingeführt? (Datum)</v>
      </c>
      <c r="AG26" s="82"/>
    </row>
    <row r="27" spans="1:33" ht="35.25" customHeight="1" x14ac:dyDescent="0.25">
      <c r="A27" s="180"/>
      <c r="B27" s="15"/>
      <c r="C27" s="292" t="str">
        <f>VLOOKUP(70,Language!C3:AI200,Language!$B$2+1,FALSE)</f>
        <v>Zuständigen Mitarbeiter in der Produktion über die Reklamation informieren - Mitarbeiter wurden informiert.</v>
      </c>
      <c r="D27" s="292"/>
      <c r="E27" s="292"/>
      <c r="F27" s="292"/>
      <c r="G27" s="292"/>
      <c r="H27" s="292"/>
      <c r="I27" s="292"/>
      <c r="J27" s="292"/>
      <c r="K27" s="292"/>
      <c r="L27" s="292"/>
      <c r="M27" s="293"/>
      <c r="N27" s="293"/>
      <c r="O27" s="5">
        <f>VLOOKUP(72,Language!C3:AI200,Language!$B$2+1,FALSE)</f>
        <v>44503</v>
      </c>
      <c r="P27" s="34"/>
      <c r="Q27" s="114"/>
      <c r="R27" s="273"/>
      <c r="S27" s="65"/>
      <c r="T27" s="226"/>
      <c r="U27" s="227"/>
      <c r="V27" s="227"/>
      <c r="W27" s="227"/>
      <c r="X27" s="227"/>
      <c r="Y27" s="227"/>
      <c r="Z27" s="227"/>
      <c r="AA27" s="227"/>
      <c r="AB27" s="227"/>
      <c r="AC27" s="227"/>
      <c r="AD27" s="227"/>
      <c r="AE27" s="228"/>
      <c r="AF27" s="233"/>
      <c r="AG27" s="83"/>
    </row>
    <row r="28" spans="1:33" ht="35.25" customHeight="1" x14ac:dyDescent="0.25">
      <c r="A28" s="180"/>
      <c r="B28" s="15"/>
      <c r="C28" s="292" t="str">
        <f>VLOOKUP(71,Language!C3:AI200,Language!$B$2+1,FALSE)</f>
        <v>Codierprogramm für Materialnummer 35035690 geprüft - falsche Einstellungen vorhanden.</v>
      </c>
      <c r="D28" s="292"/>
      <c r="E28" s="292"/>
      <c r="F28" s="292"/>
      <c r="G28" s="292"/>
      <c r="H28" s="292"/>
      <c r="I28" s="292"/>
      <c r="J28" s="292"/>
      <c r="K28" s="292"/>
      <c r="L28" s="292"/>
      <c r="M28" s="293"/>
      <c r="N28" s="293"/>
      <c r="O28" s="5">
        <f>VLOOKUP(73,Language!C3:AI200,Language!$B$2+1,FALSE)</f>
        <v>44504</v>
      </c>
      <c r="P28" s="34"/>
      <c r="Q28" s="114"/>
      <c r="R28" s="273"/>
      <c r="S28" s="65"/>
      <c r="T28" s="226"/>
      <c r="U28" s="227"/>
      <c r="V28" s="227"/>
      <c r="W28" s="227"/>
      <c r="X28" s="227"/>
      <c r="Y28" s="227"/>
      <c r="Z28" s="227"/>
      <c r="AA28" s="227"/>
      <c r="AB28" s="227"/>
      <c r="AC28" s="227"/>
      <c r="AD28" s="227"/>
      <c r="AE28" s="228"/>
      <c r="AF28" s="233"/>
      <c r="AG28" s="83"/>
    </row>
    <row r="29" spans="1:33" ht="35.25" customHeight="1" x14ac:dyDescent="0.25">
      <c r="A29" s="180"/>
      <c r="B29" s="15"/>
      <c r="C29" s="292"/>
      <c r="D29" s="292"/>
      <c r="E29" s="292"/>
      <c r="F29" s="292"/>
      <c r="G29" s="292"/>
      <c r="H29" s="292"/>
      <c r="I29" s="292"/>
      <c r="J29" s="292"/>
      <c r="K29" s="292"/>
      <c r="L29" s="292"/>
      <c r="M29" s="293"/>
      <c r="N29" s="293"/>
      <c r="O29" s="5"/>
      <c r="P29" s="34"/>
      <c r="Q29" s="114"/>
      <c r="R29" s="273"/>
      <c r="S29" s="65"/>
      <c r="T29" s="226"/>
      <c r="U29" s="227"/>
      <c r="V29" s="227"/>
      <c r="W29" s="227"/>
      <c r="X29" s="227"/>
      <c r="Y29" s="227"/>
      <c r="Z29" s="227"/>
      <c r="AA29" s="227"/>
      <c r="AB29" s="227"/>
      <c r="AC29" s="227"/>
      <c r="AD29" s="227"/>
      <c r="AE29" s="228"/>
      <c r="AF29" s="233"/>
      <c r="AG29" s="83"/>
    </row>
    <row r="30" spans="1:33" ht="35.25" customHeight="1" x14ac:dyDescent="0.25">
      <c r="A30" s="180"/>
      <c r="B30" s="15"/>
      <c r="C30" s="292"/>
      <c r="D30" s="292"/>
      <c r="E30" s="292"/>
      <c r="F30" s="292"/>
      <c r="G30" s="292"/>
      <c r="H30" s="292"/>
      <c r="I30" s="292"/>
      <c r="J30" s="292"/>
      <c r="K30" s="292"/>
      <c r="L30" s="292"/>
      <c r="M30" s="293"/>
      <c r="N30" s="293"/>
      <c r="O30" s="5"/>
      <c r="P30" s="34"/>
      <c r="Q30" s="114"/>
      <c r="R30" s="273"/>
      <c r="S30" s="65"/>
      <c r="T30" s="226"/>
      <c r="U30" s="227"/>
      <c r="V30" s="227"/>
      <c r="W30" s="227"/>
      <c r="X30" s="227"/>
      <c r="Y30" s="227"/>
      <c r="Z30" s="227"/>
      <c r="AA30" s="227"/>
      <c r="AB30" s="227"/>
      <c r="AC30" s="227"/>
      <c r="AD30" s="227"/>
      <c r="AE30" s="228"/>
      <c r="AF30" s="233"/>
      <c r="AG30" s="83"/>
    </row>
    <row r="31" spans="1:33" ht="35.25" customHeight="1" x14ac:dyDescent="0.25">
      <c r="A31" s="180"/>
      <c r="B31" s="15"/>
      <c r="C31" s="292"/>
      <c r="D31" s="292"/>
      <c r="E31" s="292"/>
      <c r="F31" s="292"/>
      <c r="G31" s="292"/>
      <c r="H31" s="292"/>
      <c r="I31" s="292"/>
      <c r="J31" s="292"/>
      <c r="K31" s="292"/>
      <c r="L31" s="292"/>
      <c r="M31" s="293"/>
      <c r="N31" s="293"/>
      <c r="O31" s="5"/>
      <c r="P31" s="34"/>
      <c r="Q31" s="114"/>
      <c r="R31" s="273"/>
      <c r="S31" s="65"/>
      <c r="T31" s="229"/>
      <c r="U31" s="230"/>
      <c r="V31" s="230"/>
      <c r="W31" s="230"/>
      <c r="X31" s="230"/>
      <c r="Y31" s="230"/>
      <c r="Z31" s="230"/>
      <c r="AA31" s="230"/>
      <c r="AB31" s="230"/>
      <c r="AC31" s="230"/>
      <c r="AD31" s="230"/>
      <c r="AE31" s="231"/>
      <c r="AF31" s="234"/>
      <c r="AG31" s="83"/>
    </row>
    <row r="32" spans="1:33" ht="4.5" customHeight="1" thickBot="1" x14ac:dyDescent="0.3">
      <c r="A32" s="180"/>
      <c r="B32" s="24"/>
      <c r="C32" s="35"/>
      <c r="D32" s="35"/>
      <c r="E32" s="35"/>
      <c r="F32" s="35"/>
      <c r="G32" s="35"/>
      <c r="H32" s="35"/>
      <c r="I32" s="35"/>
      <c r="J32" s="35"/>
      <c r="K32" s="35"/>
      <c r="L32" s="35"/>
      <c r="M32" s="35"/>
      <c r="N32" s="35"/>
      <c r="O32" s="36"/>
      <c r="P32" s="37"/>
      <c r="Q32" s="114"/>
      <c r="R32" s="273"/>
      <c r="S32" s="69"/>
      <c r="T32" s="84"/>
      <c r="U32" s="84"/>
      <c r="V32" s="84"/>
      <c r="W32" s="84"/>
      <c r="X32" s="84"/>
      <c r="Y32" s="84"/>
      <c r="Z32" s="84"/>
      <c r="AA32" s="84"/>
      <c r="AB32" s="84"/>
      <c r="AC32" s="84"/>
      <c r="AD32" s="84"/>
      <c r="AE32" s="84"/>
      <c r="AF32" s="85"/>
      <c r="AG32" s="86"/>
    </row>
    <row r="33" spans="1:33" ht="6" customHeight="1" x14ac:dyDescent="0.25">
      <c r="A33" s="180"/>
      <c r="B33" s="28"/>
      <c r="C33" s="38"/>
      <c r="D33" s="38"/>
      <c r="E33" s="38"/>
      <c r="F33" s="38"/>
      <c r="G33" s="38"/>
      <c r="H33" s="38"/>
      <c r="I33" s="38"/>
      <c r="J33" s="38"/>
      <c r="K33" s="38"/>
      <c r="L33" s="38"/>
      <c r="M33" s="38"/>
      <c r="N33" s="38"/>
      <c r="O33" s="39"/>
      <c r="P33" s="40"/>
      <c r="Q33" s="114"/>
      <c r="R33" s="273"/>
      <c r="S33" s="77"/>
      <c r="T33" s="87"/>
      <c r="U33" s="87"/>
      <c r="V33" s="87"/>
      <c r="W33" s="87"/>
      <c r="X33" s="87"/>
      <c r="Y33" s="87"/>
      <c r="Z33" s="87"/>
      <c r="AA33" s="87"/>
      <c r="AB33" s="87"/>
      <c r="AC33" s="87"/>
      <c r="AD33" s="87"/>
      <c r="AE33" s="87"/>
      <c r="AF33" s="88"/>
      <c r="AG33" s="89"/>
    </row>
    <row r="34" spans="1:33" x14ac:dyDescent="0.25">
      <c r="A34" s="180"/>
      <c r="B34" s="15"/>
      <c r="C34" s="41"/>
      <c r="D34" s="178" t="str">
        <f>VLOOKUP(20,Language!C3:AI68,Language!$B$2+1,FALSE)</f>
        <v>Ursachenanalyse</v>
      </c>
      <c r="E34" s="178"/>
      <c r="F34" s="178"/>
      <c r="G34" s="178"/>
      <c r="H34" s="178"/>
      <c r="I34" s="178"/>
      <c r="J34" s="178"/>
      <c r="K34" s="178"/>
      <c r="L34" s="178"/>
      <c r="M34" s="178"/>
      <c r="N34" s="178"/>
      <c r="O34" s="178"/>
      <c r="P34" s="42"/>
      <c r="Q34" s="114"/>
      <c r="R34" s="273"/>
      <c r="S34" s="65"/>
      <c r="T34" s="90"/>
      <c r="U34" s="278" t="str">
        <f>VLOOKUP(20,Language!C3:AI68,Language!$B$2+1,FALSE)</f>
        <v>Ursachenanalyse</v>
      </c>
      <c r="V34" s="278"/>
      <c r="W34" s="278"/>
      <c r="X34" s="278"/>
      <c r="Y34" s="278"/>
      <c r="Z34" s="278"/>
      <c r="AA34" s="278"/>
      <c r="AB34" s="278"/>
      <c r="AC34" s="278"/>
      <c r="AD34" s="278"/>
      <c r="AE34" s="278"/>
      <c r="AF34" s="278"/>
      <c r="AG34" s="91"/>
    </row>
    <row r="35" spans="1:33" ht="105.75" customHeight="1" x14ac:dyDescent="0.25">
      <c r="A35" s="180"/>
      <c r="B35" s="15"/>
      <c r="C35" s="56" t="str">
        <f>VLOOKUP(21,Language!C3:AI68,Language!$B$2+1,FALSE)</f>
        <v>Auftreten</v>
      </c>
      <c r="D35" s="290" t="str">
        <f>VLOOKUP(74,Language!C3:AI200,Language!$B$2+1,FALSE)</f>
        <v>Es wurde die noch nicht freigegebene Betaversion VII auf die Gerätesteuerung BS, Materialnummer 35035690 geschrieben. Somit wurde die Steuerung mit der falschen Software programmiert. Dies führte zum Fehlercode 04 (falsche Codierung). Es hätte die Verison VI sein müssen.</v>
      </c>
      <c r="E35" s="290"/>
      <c r="F35" s="290"/>
      <c r="G35" s="290"/>
      <c r="H35" s="290"/>
      <c r="I35" s="290"/>
      <c r="J35" s="290"/>
      <c r="K35" s="290"/>
      <c r="L35" s="290"/>
      <c r="M35" s="290"/>
      <c r="N35" s="290"/>
      <c r="O35" s="290"/>
      <c r="P35" s="43"/>
      <c r="Q35" s="114"/>
      <c r="R35" s="273"/>
      <c r="S35" s="65"/>
      <c r="T35" s="92" t="str">
        <f>VLOOKUP(21,Language!C3:AI68,Language!$B$2+1,FALSE)</f>
        <v>Auftreten</v>
      </c>
      <c r="U35" s="238" t="str">
        <f>VLOOKUP(36,Language!C3:AI68,Language!$B$2+1,FALSE)</f>
        <v>Wieso ist das Problem aufgetreten? Was ist die Grundursache für das Auftreten des Problems? 
Bei komplexen Problemen sind auch mehrere Grundursachen möglich.
Möglichst Nachweise für die Grundursache beifügen.</v>
      </c>
      <c r="V35" s="238"/>
      <c r="W35" s="238"/>
      <c r="X35" s="238"/>
      <c r="Y35" s="238"/>
      <c r="Z35" s="238"/>
      <c r="AA35" s="238"/>
      <c r="AB35" s="238"/>
      <c r="AC35" s="238"/>
      <c r="AD35" s="238"/>
      <c r="AE35" s="238"/>
      <c r="AF35" s="238"/>
      <c r="AG35" s="93"/>
    </row>
    <row r="36" spans="1:33" ht="105.75" customHeight="1" x14ac:dyDescent="0.25">
      <c r="A36" s="180"/>
      <c r="B36" s="15"/>
      <c r="C36" s="56" t="str">
        <f>VLOOKUP(22,Language!C3:AI68,Language!$B$2+1,FALSE)</f>
        <v>Nicht-Entdecken</v>
      </c>
      <c r="D36" s="203" t="str">
        <f>VLOOKUP(75,Language!C3:AI200,Language!$B$2+1,FALSE)</f>
        <v>Der Fehler wurde nicht entdeckt, weil die Codierung nicht in der "End of Line" Prüfung kontrolliert wird.</v>
      </c>
      <c r="E36" s="203"/>
      <c r="F36" s="203"/>
      <c r="G36" s="203"/>
      <c r="H36" s="203"/>
      <c r="I36" s="203"/>
      <c r="J36" s="203"/>
      <c r="K36" s="203"/>
      <c r="L36" s="203"/>
      <c r="M36" s="203"/>
      <c r="N36" s="203"/>
      <c r="O36" s="203"/>
      <c r="P36" s="23"/>
      <c r="Q36" s="114"/>
      <c r="R36" s="273"/>
      <c r="S36" s="65"/>
      <c r="T36" s="92" t="str">
        <f>VLOOKUP(22,Language!C3:AI68,Language!$B$2+1,FALSE)</f>
        <v>Nicht-Entdecken</v>
      </c>
      <c r="U36" s="243" t="str">
        <f>VLOOKUP(37,Language!C3:AI68,Language!$B$2+1,FALSE)</f>
        <v>Wieso wurde das Problem nicht entdeckt? Was ist die Grundursache für das Nicht-Entdecken des Problems? 
Mehrfachnennungen sind möglich.
Möglichst Nachweise für die Grundursache beifügen.</v>
      </c>
      <c r="V36" s="243"/>
      <c r="W36" s="243"/>
      <c r="X36" s="243"/>
      <c r="Y36" s="243"/>
      <c r="Z36" s="243"/>
      <c r="AA36" s="243"/>
      <c r="AB36" s="243"/>
      <c r="AC36" s="243"/>
      <c r="AD36" s="243"/>
      <c r="AE36" s="243"/>
      <c r="AF36" s="243"/>
      <c r="AG36" s="74"/>
    </row>
    <row r="37" spans="1:33" x14ac:dyDescent="0.25">
      <c r="A37" s="180"/>
      <c r="B37" s="15"/>
      <c r="C37" s="41"/>
      <c r="D37" s="188" t="str">
        <f>VLOOKUP(24,Language!C3:AI68,Language!$B$2+1,FALSE)</f>
        <v>Nachhaltige Korrekturmaßnahmen</v>
      </c>
      <c r="E37" s="188"/>
      <c r="F37" s="188"/>
      <c r="G37" s="188"/>
      <c r="H37" s="188"/>
      <c r="I37" s="188"/>
      <c r="J37" s="188"/>
      <c r="K37" s="212"/>
      <c r="L37" s="212"/>
      <c r="M37" s="188" t="str">
        <f>VLOOKUP(25,Language!C3:AI68,Language!$B$2+1,FALSE)</f>
        <v>Wirksamkeitsnachweis (nach Möglichkeit mitsenden)</v>
      </c>
      <c r="N37" s="213"/>
      <c r="O37" s="44" t="str">
        <f>VLOOKUP(26,Language!C3:AI68,Language!$B$2+1,FALSE)</f>
        <v>Einführungsdatum</v>
      </c>
      <c r="P37" s="45"/>
      <c r="Q37" s="114"/>
      <c r="R37" s="273"/>
      <c r="S37" s="65"/>
      <c r="T37" s="90"/>
      <c r="U37" s="222" t="str">
        <f>VLOOKUP(24,Language!C3:AI68,Language!$B$2+1,FALSE)</f>
        <v>Nachhaltige Korrekturmaßnahmen</v>
      </c>
      <c r="V37" s="222"/>
      <c r="W37" s="222"/>
      <c r="X37" s="222"/>
      <c r="Y37" s="222"/>
      <c r="Z37" s="222"/>
      <c r="AA37" s="222"/>
      <c r="AB37" s="241"/>
      <c r="AC37" s="241"/>
      <c r="AD37" s="222" t="str">
        <f>VLOOKUP(25,Language!C3:AI68,Language!$B$2+1,FALSE)</f>
        <v>Wirksamkeitsnachweis (nach Möglichkeit mitsenden)</v>
      </c>
      <c r="AE37" s="242"/>
      <c r="AF37" s="137" t="str">
        <f>VLOOKUP(26,Language!C3:AI68,Language!$B$2+1,FALSE)</f>
        <v>Einführungsdatum</v>
      </c>
      <c r="AG37" s="94"/>
    </row>
    <row r="38" spans="1:33" ht="149.25" customHeight="1" x14ac:dyDescent="0.25">
      <c r="A38" s="180"/>
      <c r="B38" s="15"/>
      <c r="C38" s="56" t="str">
        <f>VLOOKUP(27,Language!C3:AI68,Language!$B$2+1,FALSE)</f>
        <v>Auftreten</v>
      </c>
      <c r="D38" s="203" t="str">
        <f>VLOOKUP(76,Language!C3:AI200,Language!$B$2+1,FALSE)</f>
        <v>Die Betaversionen werden ab sofort mit einem Freigabeschlüssel versehen. Der Freigabeschlüssel muss vom Vorgesetzten bei Benutzung eingegeben werden.</v>
      </c>
      <c r="E38" s="203"/>
      <c r="F38" s="203"/>
      <c r="G38" s="203"/>
      <c r="H38" s="203"/>
      <c r="I38" s="203"/>
      <c r="J38" s="203"/>
      <c r="K38" s="285"/>
      <c r="L38" s="285"/>
      <c r="M38" s="288" t="str">
        <f>VLOOKUP(78,Language!C3:AI200,Language!$B$2+1,FALSE)</f>
        <v>Eine Kopie der entsprechenden Arbeitsanweisung wird mit dem ausgefüllten WH-A4 Formular an W&amp;H gesendet.</v>
      </c>
      <c r="N38" s="289"/>
      <c r="O38" s="57">
        <f>VLOOKUP(80,Language!C3:AI200,Language!$B$2+1,FALSE)</f>
        <v>44512</v>
      </c>
      <c r="P38" s="46"/>
      <c r="Q38" s="114"/>
      <c r="R38" s="273"/>
      <c r="S38" s="65"/>
      <c r="T38" s="92" t="str">
        <f>VLOOKUP(21,Language!C3:AI68,Language!$B$2+1,FALSE)</f>
        <v>Auftreten</v>
      </c>
      <c r="U38" s="243" t="str">
        <f>VLOOKUP(38,Language!C3:AI68,Language!$B$2+1,FALSE)</f>
        <v>Die nachhaltige Problemlösung (Fehlervermeidung) muss im Vordergrund stehen.
Für jede Grundursache (Auftreten) muss mindestens eine Korrekturmaßnahme eingetragen werden.
Eine einfache Mitarbeiterunterweisung wird im Qualitätsmanagement nicht als nachhaltige Korrekturmaßnahme akzeptiert.</v>
      </c>
      <c r="V38" s="243"/>
      <c r="W38" s="243"/>
      <c r="X38" s="243"/>
      <c r="Y38" s="243"/>
      <c r="Z38" s="243"/>
      <c r="AA38" s="243"/>
      <c r="AB38" s="244"/>
      <c r="AC38" s="244"/>
      <c r="AD38" s="245" t="str">
        <f>VLOOKUP(39,Language!C3:AI68,Language!$B$2+1,FALSE)</f>
        <v>Bitte geben Sie einen Nachweis zur Wirksamkeit der eingeführten Korrekturmaßnahme (Auftreten) an. Beispiel: Audit, Prozessbestätigung, Validierung und andere. Der Wirksamkeitsnachweis ist mit dem 
WH-A4 Formular an W&amp;H zu senden.</v>
      </c>
      <c r="AE38" s="246"/>
      <c r="AF38" s="106" t="str">
        <f>VLOOKUP(40,Language!C3:AI68,Language!$B$2+1,FALSE)</f>
        <v>Wann wurde die Korrekturmaßnahme (Auftreten) eingeführt?</v>
      </c>
      <c r="AG38" s="95"/>
    </row>
    <row r="39" spans="1:33" ht="149.25" customHeight="1" x14ac:dyDescent="0.25">
      <c r="A39" s="180"/>
      <c r="B39" s="15"/>
      <c r="C39" s="56" t="str">
        <f>VLOOKUP(28,Language!C3:AI68,Language!$B$2+1,FALSE)</f>
        <v>Nicht-Entdecken</v>
      </c>
      <c r="D39" s="203" t="str">
        <f>VLOOKUP(77,Language!C3:AI200,Language!$B$2+1,FALSE)</f>
        <v>Die Kontrolle der Codierung wurde in die End-of-Line Prüfung aufgenommen.</v>
      </c>
      <c r="E39" s="203"/>
      <c r="F39" s="203"/>
      <c r="G39" s="203"/>
      <c r="H39" s="203"/>
      <c r="I39" s="203"/>
      <c r="J39" s="203"/>
      <c r="K39" s="285"/>
      <c r="L39" s="285"/>
      <c r="M39" s="286" t="str">
        <f>VLOOKUP(79,Language!C3:AI200,Language!$B$2+1,FALSE)</f>
        <v>Eine Kopie der Tätgikeiten innerhalb der End-of-Line Pürfung wird mit dem ausgefüllten Lieferanten WH-A4 Formular an W&amp;H gesendet.</v>
      </c>
      <c r="N39" s="287"/>
      <c r="O39" s="57">
        <f>VLOOKUP(80,Language!C3:AI200,Language!$B$2+1,FALSE)</f>
        <v>44512</v>
      </c>
      <c r="P39" s="46"/>
      <c r="Q39" s="114"/>
      <c r="R39" s="273"/>
      <c r="S39" s="65"/>
      <c r="T39" s="92" t="str">
        <f>VLOOKUP(22,Language!C3:AI68,Language!$B$2+1,FALSE)</f>
        <v>Nicht-Entdecken</v>
      </c>
      <c r="U39" s="243" t="str">
        <f>VLOOKUP(41,Language!C3:AI68,Language!$B$2+1,FALSE)</f>
        <v>Die nachhaltige Problemlösung (Fehlervermeidung) muss im Vordergrund stehen.
Für jede Grundursache (Nicht entdecken) muss mindestens eine Korrekturmaßnahme eingetragen werden. 
Eine einfache Mitarbeiterunterweisung wird im Qualitätsmanagement nicht als nachhaltige Korrekturmaßnahme akzeptiert.</v>
      </c>
      <c r="V39" s="243"/>
      <c r="W39" s="243"/>
      <c r="X39" s="243"/>
      <c r="Y39" s="243"/>
      <c r="Z39" s="243"/>
      <c r="AA39" s="243"/>
      <c r="AB39" s="244"/>
      <c r="AC39" s="244"/>
      <c r="AD39" s="247" t="str">
        <f>VLOOKUP(42,Language!C3:AI68,Language!$B$2+1,FALSE)</f>
        <v>Bitte geben Sie einen Nachweis zur Wirksamkeit der eingeführten Korrekturmaßnahme (Nicht entdecken) an. Beispiel: Audit, Prozessbestätigung, Validierung und andere. Der Wirksamkeitsnachweis ist mit dem WH-A4 Formular an W&amp;H zu senden.</v>
      </c>
      <c r="AE39" s="248"/>
      <c r="AF39" s="106" t="str">
        <f>VLOOKUP(43,Language!C3:AI68,Language!$B$2+1,FALSE)</f>
        <v>Wann wurde die Korrekturmaßnahme (Nicht entdecken) eingeführt?</v>
      </c>
      <c r="AG39" s="95"/>
    </row>
    <row r="40" spans="1:33" ht="5.25" customHeight="1" thickBot="1" x14ac:dyDescent="0.3">
      <c r="A40" s="180"/>
      <c r="B40" s="24"/>
      <c r="C40" s="201"/>
      <c r="D40" s="201"/>
      <c r="E40" s="201"/>
      <c r="F40" s="201"/>
      <c r="G40" s="201"/>
      <c r="H40" s="201"/>
      <c r="I40" s="201"/>
      <c r="J40" s="201"/>
      <c r="K40" s="201"/>
      <c r="L40" s="201"/>
      <c r="M40" s="201"/>
      <c r="N40" s="201"/>
      <c r="O40" s="201"/>
      <c r="P40" s="47"/>
      <c r="Q40" s="114"/>
      <c r="R40" s="273"/>
      <c r="S40" s="69"/>
      <c r="T40" s="259"/>
      <c r="U40" s="259"/>
      <c r="V40" s="259"/>
      <c r="W40" s="259"/>
      <c r="X40" s="259"/>
      <c r="Y40" s="259"/>
      <c r="Z40" s="259"/>
      <c r="AA40" s="259"/>
      <c r="AB40" s="259"/>
      <c r="AC40" s="259"/>
      <c r="AD40" s="259"/>
      <c r="AE40" s="259"/>
      <c r="AF40" s="259"/>
      <c r="AG40" s="96"/>
    </row>
    <row r="41" spans="1:33" ht="5.25" customHeight="1" x14ac:dyDescent="0.25">
      <c r="A41" s="180"/>
      <c r="B41" s="15"/>
      <c r="C41" s="111"/>
      <c r="D41" s="111"/>
      <c r="E41" s="111"/>
      <c r="F41" s="111"/>
      <c r="G41" s="111"/>
      <c r="H41" s="111"/>
      <c r="I41" s="111"/>
      <c r="J41" s="111"/>
      <c r="K41" s="111"/>
      <c r="L41" s="111"/>
      <c r="M41" s="111"/>
      <c r="N41" s="111"/>
      <c r="O41" s="111"/>
      <c r="P41" s="48"/>
      <c r="Q41" s="114"/>
      <c r="R41" s="273"/>
      <c r="S41" s="65"/>
      <c r="T41" s="97"/>
      <c r="U41" s="97"/>
      <c r="V41" s="97"/>
      <c r="W41" s="97"/>
      <c r="X41" s="97"/>
      <c r="Y41" s="97"/>
      <c r="Z41" s="97"/>
      <c r="AA41" s="97"/>
      <c r="AB41" s="97"/>
      <c r="AC41" s="97"/>
      <c r="AD41" s="97"/>
      <c r="AE41" s="97"/>
      <c r="AF41" s="97"/>
      <c r="AG41" s="98"/>
    </row>
    <row r="42" spans="1:33" ht="15" customHeight="1" x14ac:dyDescent="0.25">
      <c r="A42" s="180"/>
      <c r="B42" s="15"/>
      <c r="C42" s="178" t="str">
        <f>VLOOKUP(29,Language!C3:AI68,Language!$B$2+1,FALSE)</f>
        <v>Reklamation anerkannt</v>
      </c>
      <c r="D42" s="178"/>
      <c r="E42" s="178"/>
      <c r="F42" s="49"/>
      <c r="G42" s="49"/>
      <c r="H42" s="202"/>
      <c r="I42" s="202"/>
      <c r="J42" s="202"/>
      <c r="K42" s="202"/>
      <c r="L42" s="202"/>
      <c r="M42" s="202"/>
      <c r="N42" s="202"/>
      <c r="O42" s="202"/>
      <c r="P42" s="48"/>
      <c r="Q42" s="114"/>
      <c r="R42" s="273"/>
      <c r="S42" s="65"/>
      <c r="T42" s="222" t="str">
        <f>VLOOKUP(29,Language!C3:AI68,Language!$B$2+1,FALSE)</f>
        <v>Reklamation anerkannt</v>
      </c>
      <c r="U42" s="222"/>
      <c r="V42" s="222"/>
      <c r="W42" s="99"/>
      <c r="X42" s="99"/>
      <c r="Y42" s="260"/>
      <c r="Z42" s="260"/>
      <c r="AA42" s="260"/>
      <c r="AB42" s="260"/>
      <c r="AC42" s="260"/>
      <c r="AD42" s="260"/>
      <c r="AE42" s="260"/>
      <c r="AF42" s="260"/>
      <c r="AG42" s="98"/>
    </row>
    <row r="43" spans="1:33" ht="18.75" customHeight="1" x14ac:dyDescent="0.25">
      <c r="A43" s="180"/>
      <c r="B43" s="15"/>
      <c r="C43" s="50"/>
      <c r="D43" s="6" t="str">
        <f>VLOOKUP(81,Language!C3:AI200,Language!$B$2+1,FALSE)</f>
        <v>Ja</v>
      </c>
      <c r="E43" s="50"/>
      <c r="F43" s="49"/>
      <c r="G43" s="49"/>
      <c r="H43" s="111"/>
      <c r="I43" s="111"/>
      <c r="J43" s="111"/>
      <c r="K43" s="111"/>
      <c r="L43" s="111"/>
      <c r="M43" s="111"/>
      <c r="N43" s="111"/>
      <c r="O43" s="111"/>
      <c r="P43" s="48"/>
      <c r="Q43" s="114"/>
      <c r="R43" s="273"/>
      <c r="S43" s="65"/>
      <c r="T43" s="100"/>
      <c r="U43" s="101"/>
      <c r="V43" s="100"/>
      <c r="W43" s="249" t="str">
        <f>VLOOKUP(44,Language!C3:AI68,Language!$B$2+1,FALSE)</f>
        <v xml:space="preserve">Tragen Sie hier ein, ob Sie die Reklamation anerkennen oder ablehnen. Nutzen Sie dazu das Drop-down-Menü. </v>
      </c>
      <c r="X43" s="249"/>
      <c r="Y43" s="249"/>
      <c r="Z43" s="249"/>
      <c r="AA43" s="249"/>
      <c r="AB43" s="249"/>
      <c r="AC43" s="249"/>
      <c r="AD43" s="249"/>
      <c r="AE43" s="249"/>
      <c r="AF43" s="249"/>
      <c r="AG43" s="98"/>
    </row>
    <row r="44" spans="1:33" x14ac:dyDescent="0.25">
      <c r="A44" s="180"/>
      <c r="B44" s="15"/>
      <c r="C44" s="132" t="str">
        <f>VLOOKUP(30,Language!C3:AI68,Language!$B$2+1,FALSE)</f>
        <v>Begründung/ weitere Informationen</v>
      </c>
      <c r="D44" s="50"/>
      <c r="E44" s="50"/>
      <c r="F44" s="49"/>
      <c r="G44" s="49"/>
      <c r="H44" s="49"/>
      <c r="I44" s="49"/>
      <c r="J44" s="49"/>
      <c r="K44" s="49"/>
      <c r="L44" s="49"/>
      <c r="M44" s="49"/>
      <c r="N44" s="49"/>
      <c r="O44" s="49"/>
      <c r="P44" s="23"/>
      <c r="Q44" s="114"/>
      <c r="R44" s="273"/>
      <c r="S44" s="65"/>
      <c r="T44" s="67" t="str">
        <f>VLOOKUP(30,Language!C3:AI68,Language!$B$2+1,FALSE)</f>
        <v>Begründung/ weitere Informationen</v>
      </c>
      <c r="U44" s="100"/>
      <c r="V44" s="100"/>
      <c r="W44" s="99"/>
      <c r="X44" s="99"/>
      <c r="Y44" s="99"/>
      <c r="Z44" s="99"/>
      <c r="AA44" s="99"/>
      <c r="AB44" s="99"/>
      <c r="AC44" s="99"/>
      <c r="AD44" s="99"/>
      <c r="AE44" s="99"/>
      <c r="AF44" s="99"/>
      <c r="AG44" s="74"/>
    </row>
    <row r="45" spans="1:33" ht="28.5" customHeight="1" x14ac:dyDescent="0.25">
      <c r="A45" s="180"/>
      <c r="B45" s="15"/>
      <c r="C45" s="283"/>
      <c r="D45" s="284"/>
      <c r="E45" s="284"/>
      <c r="F45" s="284"/>
      <c r="G45" s="284"/>
      <c r="H45" s="284"/>
      <c r="I45" s="284"/>
      <c r="J45" s="284"/>
      <c r="K45" s="284"/>
      <c r="L45" s="284"/>
      <c r="M45" s="284"/>
      <c r="N45" s="284"/>
      <c r="O45" s="284"/>
      <c r="P45" s="23"/>
      <c r="Q45" s="114"/>
      <c r="R45" s="273"/>
      <c r="S45" s="65"/>
      <c r="T45" s="239" t="str">
        <f>VLOOKUP(45,Language!C3:AI68,Language!$B$2+1,FALSE)</f>
        <v>Falls nötig können hier weitere Informationen vermerkt und die Auswahl begründet werden.</v>
      </c>
      <c r="U45" s="240"/>
      <c r="V45" s="240"/>
      <c r="W45" s="240"/>
      <c r="X45" s="240"/>
      <c r="Y45" s="240"/>
      <c r="Z45" s="240"/>
      <c r="AA45" s="240"/>
      <c r="AB45" s="240"/>
      <c r="AC45" s="240"/>
      <c r="AD45" s="240"/>
      <c r="AE45" s="240"/>
      <c r="AF45" s="240"/>
      <c r="AG45" s="74"/>
    </row>
    <row r="46" spans="1:33" s="117" customFormat="1" ht="4.5" customHeight="1" thickBot="1" x14ac:dyDescent="0.3">
      <c r="A46" s="51"/>
      <c r="B46" s="52"/>
      <c r="C46" s="52"/>
      <c r="D46" s="52"/>
      <c r="E46" s="52"/>
      <c r="F46" s="52"/>
      <c r="G46" s="52"/>
      <c r="H46" s="52"/>
      <c r="I46" s="52"/>
      <c r="J46" s="52"/>
      <c r="K46" s="52"/>
      <c r="L46" s="52"/>
      <c r="M46" s="52"/>
      <c r="N46" s="52"/>
      <c r="O46" s="52"/>
      <c r="P46" s="53"/>
      <c r="Q46" s="114"/>
      <c r="R46" s="102"/>
      <c r="S46" s="103"/>
      <c r="T46" s="103"/>
      <c r="U46" s="103"/>
      <c r="V46" s="103"/>
      <c r="W46" s="103"/>
      <c r="X46" s="103"/>
      <c r="Y46" s="103"/>
      <c r="Z46" s="103"/>
      <c r="AA46" s="103"/>
      <c r="AB46" s="103"/>
      <c r="AC46" s="103"/>
      <c r="AD46" s="103"/>
      <c r="AE46" s="103"/>
      <c r="AF46" s="103"/>
      <c r="AG46" s="104"/>
    </row>
    <row r="53" ht="15.75" customHeight="1" x14ac:dyDescent="0.25"/>
  </sheetData>
  <mergeCells count="84">
    <mergeCell ref="A2:L3"/>
    <mergeCell ref="M2:N2"/>
    <mergeCell ref="AE2:AF3"/>
    <mergeCell ref="R2:AD3"/>
    <mergeCell ref="C45:O45"/>
    <mergeCell ref="T45:AF45"/>
    <mergeCell ref="D39:L39"/>
    <mergeCell ref="M39:N39"/>
    <mergeCell ref="U39:AC39"/>
    <mergeCell ref="AD39:AE39"/>
    <mergeCell ref="C40:O40"/>
    <mergeCell ref="T40:AF40"/>
    <mergeCell ref="C42:E42"/>
    <mergeCell ref="H42:O42"/>
    <mergeCell ref="T42:V42"/>
    <mergeCell ref="Y42:AF42"/>
    <mergeCell ref="W43:AF43"/>
    <mergeCell ref="D37:L37"/>
    <mergeCell ref="M37:N37"/>
    <mergeCell ref="U37:AC37"/>
    <mergeCell ref="AD37:AE37"/>
    <mergeCell ref="D38:L38"/>
    <mergeCell ref="M38:N38"/>
    <mergeCell ref="U38:AC38"/>
    <mergeCell ref="AD38:AE38"/>
    <mergeCell ref="D34:O34"/>
    <mergeCell ref="U34:AF34"/>
    <mergeCell ref="D35:O35"/>
    <mergeCell ref="U35:AF35"/>
    <mergeCell ref="D36:O36"/>
    <mergeCell ref="U36:AF36"/>
    <mergeCell ref="C22:O22"/>
    <mergeCell ref="C25:L25"/>
    <mergeCell ref="T25:AC25"/>
    <mergeCell ref="C26:N26"/>
    <mergeCell ref="T26:AE31"/>
    <mergeCell ref="T22:AF22"/>
    <mergeCell ref="AF26:AF31"/>
    <mergeCell ref="C27:N27"/>
    <mergeCell ref="C28:N28"/>
    <mergeCell ref="C29:N29"/>
    <mergeCell ref="C30:N30"/>
    <mergeCell ref="C31:N31"/>
    <mergeCell ref="S7:AB20"/>
    <mergeCell ref="C8:F8"/>
    <mergeCell ref="H8:J8"/>
    <mergeCell ref="C9:F9"/>
    <mergeCell ref="H9:J9"/>
    <mergeCell ref="C10:F10"/>
    <mergeCell ref="H10:J10"/>
    <mergeCell ref="C11:F11"/>
    <mergeCell ref="N8:O20"/>
    <mergeCell ref="L7:M7"/>
    <mergeCell ref="N7:O7"/>
    <mergeCell ref="H13:J13"/>
    <mergeCell ref="C14:F14"/>
    <mergeCell ref="H14:J14"/>
    <mergeCell ref="C17:F17"/>
    <mergeCell ref="H17:J17"/>
    <mergeCell ref="L8:M20"/>
    <mergeCell ref="C18:F18"/>
    <mergeCell ref="H18:J18"/>
    <mergeCell ref="H11:J11"/>
    <mergeCell ref="C12:F12"/>
    <mergeCell ref="H12:J12"/>
    <mergeCell ref="C13:F13"/>
    <mergeCell ref="C19:F19"/>
    <mergeCell ref="H19:J19"/>
    <mergeCell ref="AC8:AD20"/>
    <mergeCell ref="AE8:AF20"/>
    <mergeCell ref="AE7:AF7"/>
    <mergeCell ref="AC7:AD7"/>
    <mergeCell ref="A4:J5"/>
    <mergeCell ref="L4:O4"/>
    <mergeCell ref="R4:AA5"/>
    <mergeCell ref="AC4:AF4"/>
    <mergeCell ref="L5:O5"/>
    <mergeCell ref="AC5:AF5"/>
    <mergeCell ref="A6:A45"/>
    <mergeCell ref="R6:R45"/>
    <mergeCell ref="C7:F7"/>
    <mergeCell ref="H7:J7"/>
    <mergeCell ref="C20:F20"/>
    <mergeCell ref="H20:J20"/>
  </mergeCells>
  <conditionalFormatting sqref="D38">
    <cfRule type="cellIs" dxfId="21" priority="13" operator="equal">
      <formula>"Welche Maßnahmen wurde eingeführt, um ein erneutes Auftreten zu verhindern?"</formula>
    </cfRule>
    <cfRule type="cellIs" dxfId="20" priority="15" operator="equal">
      <formula>"Welche Maßnahme wurde eingeführt, um ein erneutes Auftreten zu verhindern?"</formula>
    </cfRule>
  </conditionalFormatting>
  <conditionalFormatting sqref="F42:G44">
    <cfRule type="cellIs" dxfId="19" priority="14" operator="equal">
      <formula>"(Falls nötig können hier weitere Informationen vermerkt werden)"</formula>
    </cfRule>
  </conditionalFormatting>
  <conditionalFormatting sqref="F44:P44 P45 F42:G43">
    <cfRule type="cellIs" dxfId="18" priority="12" operator="equal">
      <formula>"(Falls nötig können hier weitere Informationen vermerkt werden)"</formula>
    </cfRule>
  </conditionalFormatting>
  <conditionalFormatting sqref="D39">
    <cfRule type="cellIs" dxfId="17" priority="11" operator="equal">
      <formula>"Welche Maßnahmen wurde eingeführt, damit das Problem immer entdeckt wird?"</formula>
    </cfRule>
  </conditionalFormatting>
  <conditionalFormatting sqref="AG44:AG45">
    <cfRule type="cellIs" dxfId="16" priority="7" operator="equal">
      <formula>"(Falls nötig können hier weitere Informationen vermerkt werden)"</formula>
    </cfRule>
  </conditionalFormatting>
  <conditionalFormatting sqref="U38">
    <cfRule type="cellIs" dxfId="15" priority="3" operator="equal">
      <formula>"Welche Maßnahmen wurde eingeführt, um ein erneutes Auftreten zu verhindern?"</formula>
    </cfRule>
    <cfRule type="cellIs" dxfId="14" priority="5" operator="equal">
      <formula>"Welche Maßnahme wurde eingeführt, um ein erneutes Auftreten zu verhindern?"</formula>
    </cfRule>
  </conditionalFormatting>
  <conditionalFormatting sqref="W42:X42 W44:X44 W43">
    <cfRule type="cellIs" dxfId="13" priority="4" operator="equal">
      <formula>"(Falls nötig können hier weitere Informationen vermerkt werden)"</formula>
    </cfRule>
  </conditionalFormatting>
  <conditionalFormatting sqref="W44:AF44 W42:X42 W43">
    <cfRule type="cellIs" dxfId="12" priority="2" operator="equal">
      <formula>"(Falls nötig können hier weitere Informationen vermerkt werden)"</formula>
    </cfRule>
  </conditionalFormatting>
  <conditionalFormatting sqref="U39">
    <cfRule type="cellIs" dxfId="11" priority="1" operator="equal">
      <formula>"Welche Maßnahmen wurde eingeführt, damit das Problem immer entdeckt wird?"</formula>
    </cfRule>
  </conditionalFormatting>
  <dataValidations disablePrompts="1" count="1">
    <dataValidation type="list" allowBlank="1" showInputMessage="1" showErrorMessage="1" sqref="D43 U43" xr:uid="{AD1E059C-A253-433F-AE71-65BF02A5CCF6}">
      <formula1>"Ja,Nein"</formula1>
    </dataValidation>
  </dataValidations>
  <hyperlinks>
    <hyperlink ref="C20" r:id="rId1" display="qualität@e-s.de" xr:uid="{863CE218-5987-4074-93F3-57A6D73215BD}"/>
  </hyperlinks>
  <pageMargins left="0.70866141732283472" right="0.70866141732283472" top="0.78740157480314965" bottom="0.78740157480314965" header="0.31496062992125984" footer="0.51181102362204722"/>
  <pageSetup paperSize="9" scale="58" fitToWidth="2" orientation="portrait" r:id="rId2"/>
  <headerFooter>
    <oddFooter>&amp;LErstellt: Pliet
Geprüft: Große Kintrup&amp;CFreigegeben: Große Kintrup&amp;RFOR-22-001-V02
gültig ab 01.04.2023</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3073" r:id="rId5" name="Drop Down 1">
              <controlPr defaultSize="0" autoLine="0" autoPict="0">
                <anchor moveWithCells="1">
                  <from>
                    <xdr:col>14</xdr:col>
                    <xdr:colOff>19050</xdr:colOff>
                    <xdr:row>0</xdr:row>
                    <xdr:rowOff>171450</xdr:rowOff>
                  </from>
                  <to>
                    <xdr:col>14</xdr:col>
                    <xdr:colOff>847725</xdr:colOff>
                    <xdr:row>1</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61C0C-9191-491F-B767-EB1BDC484489}">
  <sheetPr codeName="Tabelle4">
    <tabColor rgb="FF0070C0"/>
  </sheetPr>
  <dimension ref="A1:AG54"/>
  <sheetViews>
    <sheetView view="pageLayout" zoomScale="90" zoomScaleNormal="55" zoomScalePageLayoutView="90" workbookViewId="0">
      <selection activeCell="D43" sqref="D43"/>
    </sheetView>
  </sheetViews>
  <sheetFormatPr baseColWidth="10" defaultColWidth="0" defaultRowHeight="15" x14ac:dyDescent="0.25"/>
  <cols>
    <col min="1" max="1" width="4.5703125" style="1" customWidth="1"/>
    <col min="2" max="2" width="0.7109375" style="1" customWidth="1"/>
    <col min="3" max="3" width="3.7109375" style="1" customWidth="1"/>
    <col min="4" max="5" width="11.85546875" style="1" customWidth="1"/>
    <col min="6" max="6" width="9.7109375" style="1" customWidth="1"/>
    <col min="7" max="7" width="3" style="1" customWidth="1"/>
    <col min="8" max="8" width="8.5703125" style="1" customWidth="1"/>
    <col min="9" max="9" width="9.7109375" style="1" customWidth="1"/>
    <col min="10" max="10" width="11.42578125" style="1" customWidth="1"/>
    <col min="11" max="11" width="1" style="1" customWidth="1"/>
    <col min="12" max="12" width="4" style="1" customWidth="1"/>
    <col min="13" max="13" width="32.28515625" style="1" customWidth="1"/>
    <col min="14" max="14" width="12.42578125" style="1" customWidth="1"/>
    <col min="15" max="15" width="23.5703125" style="1" customWidth="1"/>
    <col min="16" max="16" width="1.28515625" style="1" customWidth="1"/>
    <col min="17" max="17" width="0.5703125" style="1" customWidth="1"/>
    <col min="18" max="18" width="2.5703125" style="1" customWidth="1"/>
    <col min="19" max="19" width="0.7109375" style="1" customWidth="1"/>
    <col min="20" max="20" width="3.28515625" style="1" customWidth="1"/>
    <col min="21" max="22" width="11.7109375" style="1" customWidth="1"/>
    <col min="23" max="23" width="9.5703125" style="1" customWidth="1"/>
    <col min="24" max="24" width="1.7109375" style="1" customWidth="1"/>
    <col min="25" max="25" width="8.5703125" style="1" customWidth="1"/>
    <col min="26" max="26" width="9.7109375" style="1" customWidth="1"/>
    <col min="27" max="27" width="11.42578125" style="1" customWidth="1"/>
    <col min="28" max="28" width="0.5703125" style="1" customWidth="1"/>
    <col min="29" max="29" width="4.28515625" style="1" customWidth="1"/>
    <col min="30" max="30" width="28.5703125" style="1" customWidth="1"/>
    <col min="31" max="31" width="14.85546875" style="1" customWidth="1"/>
    <col min="32" max="32" width="18.42578125" style="1" customWidth="1"/>
    <col min="33" max="33" width="0.7109375" style="1" customWidth="1"/>
    <col min="34" max="34" width="0.28515625" style="1" customWidth="1"/>
    <col min="35" max="16381" width="0" style="1" hidden="1"/>
    <col min="16382" max="16383" width="0.5703125" style="1" customWidth="1"/>
    <col min="16384" max="16384" width="1.85546875" style="1" customWidth="1"/>
  </cols>
  <sheetData>
    <row r="1" spans="1:33" s="2" customFormat="1" x14ac:dyDescent="0.25"/>
    <row r="2" spans="1:33" ht="25.5" customHeight="1" x14ac:dyDescent="0.25">
      <c r="A2" s="305"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B2" s="305"/>
      <c r="C2" s="305"/>
      <c r="D2" s="305"/>
      <c r="E2" s="305"/>
      <c r="F2" s="305"/>
      <c r="G2" s="305"/>
      <c r="H2" s="305"/>
      <c r="I2" s="305"/>
      <c r="J2" s="305"/>
      <c r="K2" s="305"/>
      <c r="L2" s="305"/>
      <c r="M2" s="307" t="str">
        <f>VLOOKUP(98,Language!C3:AI200,Language!$B$2+1,FALSE)</f>
        <v>Sprache/ Language/ Jazyk:</v>
      </c>
      <c r="N2" s="307"/>
      <c r="O2" s="4"/>
      <c r="P2" s="4"/>
      <c r="R2" s="162" t="str">
        <f>VLOOKUP(1,Language!C3:AI68,Language!$B$2+1,FALSE)</f>
        <v>Hinweis: Das vollständig ausgefüllte Lieferanten WH-A4 Formular muss als Excel-Datei im W&amp;H Lieferantenportal (Pool4Tool / Jaggear) hochgeladen werden. Lieferanten ohne Zugang zum W&amp;H Lieferantenportal senden die Excel-Datei per E-Mail an sqa-whl@wuh-group.com. 
Falls eine fristgerechte Stellungnahme aufgrund einer fehlender Retoure nicht möglich ist, erwirken Sie bitte über SQA-whl@wuh-group.com eine Fristverlängerung.</v>
      </c>
      <c r="S2" s="163"/>
      <c r="T2" s="163"/>
      <c r="U2" s="163"/>
      <c r="V2" s="163"/>
      <c r="W2" s="163"/>
      <c r="X2" s="163"/>
      <c r="Y2" s="163"/>
      <c r="Z2" s="163"/>
      <c r="AA2" s="163"/>
      <c r="AB2" s="163"/>
      <c r="AC2" s="163"/>
      <c r="AD2" s="163"/>
      <c r="AE2" s="254"/>
      <c r="AF2" s="254"/>
      <c r="AG2" s="4"/>
    </row>
    <row r="3" spans="1:33" ht="32.25" customHeight="1" thickBot="1" x14ac:dyDescent="0.3">
      <c r="A3" s="306"/>
      <c r="B3" s="306"/>
      <c r="C3" s="306"/>
      <c r="D3" s="306"/>
      <c r="E3" s="306"/>
      <c r="F3" s="306"/>
      <c r="G3" s="306"/>
      <c r="H3" s="306"/>
      <c r="I3" s="306"/>
      <c r="J3" s="306"/>
      <c r="K3" s="306"/>
      <c r="L3" s="306"/>
      <c r="M3" s="140"/>
      <c r="N3" s="4"/>
      <c r="O3" s="4"/>
      <c r="P3" s="4"/>
      <c r="R3" s="164"/>
      <c r="S3" s="165"/>
      <c r="T3" s="165"/>
      <c r="U3" s="165"/>
      <c r="V3" s="165"/>
      <c r="W3" s="165"/>
      <c r="X3" s="165"/>
      <c r="Y3" s="165"/>
      <c r="Z3" s="165"/>
      <c r="AA3" s="165"/>
      <c r="AB3" s="165"/>
      <c r="AC3" s="165"/>
      <c r="AD3" s="165"/>
      <c r="AE3" s="301"/>
      <c r="AF3" s="301"/>
      <c r="AG3" s="4"/>
    </row>
    <row r="4" spans="1:33" ht="18.75" customHeight="1" x14ac:dyDescent="0.25">
      <c r="A4" s="166" t="str">
        <f>VLOOKUP(2,Language!C3:AI68,Language!$B$2+1,FALSE)</f>
        <v xml:space="preserve"> Lieferanten WH-A4 Problemlösungsformular</v>
      </c>
      <c r="B4" s="167"/>
      <c r="C4" s="168"/>
      <c r="D4" s="168"/>
      <c r="E4" s="168"/>
      <c r="F4" s="168"/>
      <c r="G4" s="168"/>
      <c r="H4" s="168"/>
      <c r="I4" s="168"/>
      <c r="J4" s="169"/>
      <c r="K4" s="7"/>
      <c r="L4" s="173" t="str">
        <f>VLOOKUP(3,Language!C3:AI68,Language!$B$2+1,FALSE)</f>
        <v>Mängelbericht Nr.</v>
      </c>
      <c r="M4" s="173"/>
      <c r="N4" s="173"/>
      <c r="O4" s="174"/>
      <c r="P4" s="8"/>
      <c r="R4" s="322" t="str">
        <f>VLOOKUP(2,Language!C3:AI68,Language!$B$2+1,FALSE)</f>
        <v xml:space="preserve"> Lieferanten WH-A4 Problemlösungsformular</v>
      </c>
      <c r="S4" s="323"/>
      <c r="T4" s="323"/>
      <c r="U4" s="323"/>
      <c r="V4" s="323"/>
      <c r="W4" s="323"/>
      <c r="X4" s="323"/>
      <c r="Y4" s="323"/>
      <c r="Z4" s="323"/>
      <c r="AA4" s="324"/>
      <c r="AB4" s="130"/>
      <c r="AC4" s="268" t="str">
        <f>VLOOKUP(3,Language!C3:AI68,Language!$B$2+1,FALSE)</f>
        <v>Mängelbericht Nr.</v>
      </c>
      <c r="AD4" s="268"/>
      <c r="AE4" s="268"/>
      <c r="AF4" s="268"/>
      <c r="AG4" s="59"/>
    </row>
    <row r="5" spans="1:33" ht="27" customHeight="1" thickBot="1" x14ac:dyDescent="0.3">
      <c r="A5" s="321"/>
      <c r="B5" s="171"/>
      <c r="C5" s="171"/>
      <c r="D5" s="171"/>
      <c r="E5" s="171"/>
      <c r="F5" s="171"/>
      <c r="G5" s="171"/>
      <c r="H5" s="171"/>
      <c r="I5" s="171"/>
      <c r="J5" s="172"/>
      <c r="K5" s="10"/>
      <c r="L5" s="299">
        <v>220159261</v>
      </c>
      <c r="M5" s="299"/>
      <c r="N5" s="299"/>
      <c r="O5" s="300"/>
      <c r="P5" s="9"/>
      <c r="R5" s="264"/>
      <c r="S5" s="265"/>
      <c r="T5" s="265"/>
      <c r="U5" s="265"/>
      <c r="V5" s="265"/>
      <c r="W5" s="265"/>
      <c r="X5" s="265"/>
      <c r="Y5" s="265"/>
      <c r="Z5" s="265"/>
      <c r="AA5" s="266"/>
      <c r="AB5" s="60"/>
      <c r="AC5" s="269" t="str">
        <f>VLOOKUP(31,Language!C3:AI68,Language!$B$2+1,FALSE)</f>
        <v>Hier Mängelberichtsnummer aus dem W&amp;H Mängelbericht eintragen.</v>
      </c>
      <c r="AD5" s="270"/>
      <c r="AE5" s="270"/>
      <c r="AF5" s="271"/>
      <c r="AG5" s="61"/>
    </row>
    <row r="6" spans="1:33" ht="5.25" customHeight="1" x14ac:dyDescent="0.25">
      <c r="A6" s="179" t="str">
        <f>VLOOKUP(23,Language!C3:AI68,Language!$B$2+1,FALSE)</f>
        <v>Lieferant</v>
      </c>
      <c r="B6" s="7"/>
      <c r="C6" s="7"/>
      <c r="D6" s="7"/>
      <c r="E6" s="7"/>
      <c r="F6" s="7"/>
      <c r="G6" s="7"/>
      <c r="H6" s="7"/>
      <c r="I6" s="7"/>
      <c r="J6" s="7"/>
      <c r="K6" s="7"/>
      <c r="L6" s="11"/>
      <c r="M6" s="11"/>
      <c r="N6" s="11"/>
      <c r="O6" s="7"/>
      <c r="P6" s="12"/>
      <c r="R6" s="272" t="str">
        <f>VLOOKUP(23,Language!C3:AI68,Language!$B$2+1,FALSE)</f>
        <v>Lieferant</v>
      </c>
      <c r="S6" s="58"/>
      <c r="T6" s="58"/>
      <c r="U6" s="58"/>
      <c r="V6" s="58"/>
      <c r="W6" s="58"/>
      <c r="X6" s="58"/>
      <c r="Y6" s="58"/>
      <c r="Z6" s="58"/>
      <c r="AA6" s="58"/>
      <c r="AB6" s="58"/>
      <c r="AC6" s="62"/>
      <c r="AD6" s="62"/>
      <c r="AE6" s="62"/>
      <c r="AF6" s="58"/>
      <c r="AG6" s="63"/>
    </row>
    <row r="7" spans="1:33" ht="16.5" customHeight="1" x14ac:dyDescent="0.25">
      <c r="A7" s="180"/>
      <c r="B7" s="13"/>
      <c r="C7" s="181" t="str">
        <f>VLOOKUP(4,Language!C3:AI68,Language!$B$2+1,FALSE)</f>
        <v>Firmenname</v>
      </c>
      <c r="D7" s="181"/>
      <c r="E7" s="181"/>
      <c r="F7" s="181"/>
      <c r="G7" s="132"/>
      <c r="H7" s="178" t="str">
        <f>VLOOKUP(5,Language!C3:AI68,Language!$B$2+1,FALSE)</f>
        <v>Datum</v>
      </c>
      <c r="I7" s="178"/>
      <c r="J7" s="178"/>
      <c r="K7" s="3"/>
      <c r="L7" s="183" t="str">
        <f>VLOOKUP(11,Language!C3:AI68,Language!$B$2+1,FALSE)</f>
        <v>IST (Foto)</v>
      </c>
      <c r="M7" s="184"/>
      <c r="N7" s="183" t="str">
        <f>VLOOKUP(12,Language!C3:AI68,Language!$B$2+1,FALSE)</f>
        <v>SOLL (Foto)</v>
      </c>
      <c r="O7" s="184"/>
      <c r="P7" s="14"/>
      <c r="R7" s="273"/>
      <c r="S7" s="274" t="str">
        <f>VLOOKUP(32,Language!C3:AI68,Language!$B$2+1,FALSE)</f>
        <v>Kopfdaten WH-A4 Formular:
Alle weißen Felder müssen vollständig ausgefüllt werden.
Im nebenstehenden linken Feld ist ein Foto von der Ist-Situation (Bauteil mit Problem) einzutragen.
Im nebenstehenden rechten Feld ist ein Foto von der Soll-Situation (Bauteil ohne Problem) einzutragen.
Es reicht aus, wenn nur der vom Problem betroffene Bereich fotografiert wird.</v>
      </c>
      <c r="T7" s="275"/>
      <c r="U7" s="275"/>
      <c r="V7" s="275"/>
      <c r="W7" s="275"/>
      <c r="X7" s="275"/>
      <c r="Y7" s="275"/>
      <c r="Z7" s="275"/>
      <c r="AA7" s="275"/>
      <c r="AB7" s="275"/>
      <c r="AC7" s="320" t="str">
        <f>VLOOKUP(11,Language!C3:AI68,Language!$B$2+1,FALSE)</f>
        <v>IST (Foto)</v>
      </c>
      <c r="AD7" s="320"/>
      <c r="AE7" s="320" t="str">
        <f>VLOOKUP(12,Language!C3:AI68,Language!$B$2+1,FALSE)</f>
        <v>SOLL (Foto)</v>
      </c>
      <c r="AF7" s="320"/>
      <c r="AG7" s="66"/>
    </row>
    <row r="8" spans="1:33" s="2" customFormat="1" ht="16.5" customHeight="1" x14ac:dyDescent="0.25">
      <c r="A8" s="180"/>
      <c r="B8" s="15"/>
      <c r="C8" s="283" t="s">
        <v>63</v>
      </c>
      <c r="D8" s="283"/>
      <c r="E8" s="283"/>
      <c r="F8" s="283"/>
      <c r="G8" s="108"/>
      <c r="H8" s="295">
        <f>VLOOKUP(82,Language!C3:AI200,Language!$B$2+1,FALSE)</f>
        <v>44530</v>
      </c>
      <c r="I8" s="294"/>
      <c r="J8" s="294"/>
      <c r="K8" s="3"/>
      <c r="L8" s="281"/>
      <c r="M8" s="282"/>
      <c r="N8" s="279"/>
      <c r="O8" s="280"/>
      <c r="P8" s="16"/>
      <c r="R8" s="273"/>
      <c r="S8" s="274"/>
      <c r="T8" s="275"/>
      <c r="U8" s="275"/>
      <c r="V8" s="275"/>
      <c r="W8" s="275"/>
      <c r="X8" s="275"/>
      <c r="Y8" s="275"/>
      <c r="Z8" s="275"/>
      <c r="AA8" s="275"/>
      <c r="AB8" s="275"/>
      <c r="AC8" s="314"/>
      <c r="AD8" s="315"/>
      <c r="AE8" s="308"/>
      <c r="AF8" s="309"/>
      <c r="AG8" s="113"/>
    </row>
    <row r="9" spans="1:33" ht="16.5" customHeight="1" x14ac:dyDescent="0.25">
      <c r="A9" s="180"/>
      <c r="B9" s="15"/>
      <c r="C9" s="177" t="str">
        <f>VLOOKUP(6,Language!C3:AI68,Language!$B$2+1,FALSE)</f>
        <v>Materialbezeichnung</v>
      </c>
      <c r="D9" s="177"/>
      <c r="E9" s="177"/>
      <c r="F9" s="177"/>
      <c r="G9" s="133"/>
      <c r="H9" s="219" t="str">
        <f>VLOOKUP(7,Language!C3:AI68,Language!$B$2+1,FALSE)</f>
        <v>W&amp;H Materialnummer</v>
      </c>
      <c r="I9" s="178"/>
      <c r="J9" s="178"/>
      <c r="K9" s="17"/>
      <c r="L9" s="282"/>
      <c r="M9" s="282"/>
      <c r="N9" s="280"/>
      <c r="O9" s="280"/>
      <c r="P9" s="16"/>
      <c r="R9" s="273"/>
      <c r="S9" s="274"/>
      <c r="T9" s="275"/>
      <c r="U9" s="275"/>
      <c r="V9" s="275"/>
      <c r="W9" s="275"/>
      <c r="X9" s="275"/>
      <c r="Y9" s="275"/>
      <c r="Z9" s="275"/>
      <c r="AA9" s="275"/>
      <c r="AB9" s="275"/>
      <c r="AC9" s="316"/>
      <c r="AD9" s="317"/>
      <c r="AE9" s="310"/>
      <c r="AF9" s="311"/>
      <c r="AG9" s="113"/>
    </row>
    <row r="10" spans="1:33" ht="16.5" customHeight="1" x14ac:dyDescent="0.25">
      <c r="A10" s="180"/>
      <c r="B10" s="15"/>
      <c r="C10" s="294" t="str">
        <f>VLOOKUP(83,Language!C3:AI200,Language!$B$2+1,FALSE)</f>
        <v>Gestellplatte</v>
      </c>
      <c r="D10" s="294"/>
      <c r="E10" s="294"/>
      <c r="F10" s="294"/>
      <c r="G10" s="108"/>
      <c r="H10" s="220">
        <v>34532112</v>
      </c>
      <c r="I10" s="294"/>
      <c r="J10" s="294"/>
      <c r="K10" s="18"/>
      <c r="L10" s="282"/>
      <c r="M10" s="282"/>
      <c r="N10" s="280"/>
      <c r="O10" s="280"/>
      <c r="P10" s="16"/>
      <c r="R10" s="273"/>
      <c r="S10" s="274"/>
      <c r="T10" s="275"/>
      <c r="U10" s="275"/>
      <c r="V10" s="275"/>
      <c r="W10" s="275"/>
      <c r="X10" s="275"/>
      <c r="Y10" s="275"/>
      <c r="Z10" s="275"/>
      <c r="AA10" s="275"/>
      <c r="AB10" s="275"/>
      <c r="AC10" s="316"/>
      <c r="AD10" s="317"/>
      <c r="AE10" s="310"/>
      <c r="AF10" s="311"/>
      <c r="AG10" s="113"/>
    </row>
    <row r="11" spans="1:33" s="2" customFormat="1" ht="16.5" customHeight="1" x14ac:dyDescent="0.25">
      <c r="A11" s="180"/>
      <c r="B11" s="15"/>
      <c r="C11" s="177" t="str">
        <f>VLOOKUP(8,Language!C3:AI68,Language!$B$2+1,FALSE)</f>
        <v>gelieferte Menge</v>
      </c>
      <c r="D11" s="177"/>
      <c r="E11" s="177"/>
      <c r="F11" s="177"/>
      <c r="G11" s="132"/>
      <c r="H11" s="178" t="str">
        <f>VLOOKUP(9,Language!C3:AI68,Language!$B$2+1,FALSE)</f>
        <v>reklamierte Menge</v>
      </c>
      <c r="I11" s="178"/>
      <c r="J11" s="178"/>
      <c r="K11" s="3"/>
      <c r="L11" s="282"/>
      <c r="M11" s="282"/>
      <c r="N11" s="280"/>
      <c r="O11" s="280"/>
      <c r="P11" s="16"/>
      <c r="R11" s="273"/>
      <c r="S11" s="274"/>
      <c r="T11" s="275"/>
      <c r="U11" s="275"/>
      <c r="V11" s="275"/>
      <c r="W11" s="275"/>
      <c r="X11" s="275"/>
      <c r="Y11" s="275"/>
      <c r="Z11" s="275"/>
      <c r="AA11" s="275"/>
      <c r="AB11" s="275"/>
      <c r="AC11" s="316"/>
      <c r="AD11" s="317"/>
      <c r="AE11" s="310"/>
      <c r="AF11" s="311"/>
      <c r="AG11" s="113"/>
    </row>
    <row r="12" spans="1:33" ht="16.5" customHeight="1" x14ac:dyDescent="0.25">
      <c r="A12" s="180"/>
      <c r="B12" s="15"/>
      <c r="C12" s="182">
        <v>20</v>
      </c>
      <c r="D12" s="294"/>
      <c r="E12" s="294"/>
      <c r="F12" s="294"/>
      <c r="G12" s="112"/>
      <c r="H12" s="294">
        <v>20</v>
      </c>
      <c r="I12" s="294"/>
      <c r="J12" s="294"/>
      <c r="K12" s="17"/>
      <c r="L12" s="282"/>
      <c r="M12" s="282"/>
      <c r="N12" s="280"/>
      <c r="O12" s="280"/>
      <c r="P12" s="16"/>
      <c r="R12" s="273"/>
      <c r="S12" s="274"/>
      <c r="T12" s="275"/>
      <c r="U12" s="275"/>
      <c r="V12" s="275"/>
      <c r="W12" s="275"/>
      <c r="X12" s="275"/>
      <c r="Y12" s="275"/>
      <c r="Z12" s="275"/>
      <c r="AA12" s="275"/>
      <c r="AB12" s="275"/>
      <c r="AC12" s="316"/>
      <c r="AD12" s="317"/>
      <c r="AE12" s="310"/>
      <c r="AF12" s="311"/>
      <c r="AG12" s="113"/>
    </row>
    <row r="13" spans="1:33" ht="16.5" customHeight="1" x14ac:dyDescent="0.25">
      <c r="A13" s="180"/>
      <c r="B13" s="15"/>
      <c r="C13" s="177" t="str">
        <f>VLOOKUP(10,Language!C3:AI68,Language!$B$2+1,FALSE)</f>
        <v>Produktionsdatum / Zeitraum</v>
      </c>
      <c r="D13" s="177"/>
      <c r="E13" s="177"/>
      <c r="F13" s="177"/>
      <c r="G13" s="112"/>
      <c r="H13" s="188"/>
      <c r="I13" s="188"/>
      <c r="J13" s="188"/>
      <c r="K13" s="17"/>
      <c r="L13" s="282"/>
      <c r="M13" s="282"/>
      <c r="N13" s="280"/>
      <c r="O13" s="280"/>
      <c r="P13" s="16"/>
      <c r="R13" s="273"/>
      <c r="S13" s="274"/>
      <c r="T13" s="275"/>
      <c r="U13" s="275"/>
      <c r="V13" s="275"/>
      <c r="W13" s="275"/>
      <c r="X13" s="275"/>
      <c r="Y13" s="275"/>
      <c r="Z13" s="275"/>
      <c r="AA13" s="275"/>
      <c r="AB13" s="275"/>
      <c r="AC13" s="316"/>
      <c r="AD13" s="317"/>
      <c r="AE13" s="310"/>
      <c r="AF13" s="311"/>
      <c r="AG13" s="113"/>
    </row>
    <row r="14" spans="1:33" ht="16.5" customHeight="1" x14ac:dyDescent="0.25">
      <c r="A14" s="180"/>
      <c r="B14" s="15"/>
      <c r="C14" s="217">
        <f>VLOOKUP(84,Language!C3:AI200,Language!$B$2+1,FALSE)</f>
        <v>44462</v>
      </c>
      <c r="D14" s="294"/>
      <c r="E14" s="294"/>
      <c r="F14" s="294"/>
      <c r="G14" s="112"/>
      <c r="H14" s="221"/>
      <c r="I14" s="188"/>
      <c r="J14" s="188"/>
      <c r="K14" s="19"/>
      <c r="L14" s="282"/>
      <c r="M14" s="282"/>
      <c r="N14" s="280"/>
      <c r="O14" s="280"/>
      <c r="P14" s="16"/>
      <c r="R14" s="273"/>
      <c r="S14" s="274"/>
      <c r="T14" s="275"/>
      <c r="U14" s="275"/>
      <c r="V14" s="275"/>
      <c r="W14" s="275"/>
      <c r="X14" s="275"/>
      <c r="Y14" s="275"/>
      <c r="Z14" s="275"/>
      <c r="AA14" s="275"/>
      <c r="AB14" s="275"/>
      <c r="AC14" s="316"/>
      <c r="AD14" s="317"/>
      <c r="AE14" s="310"/>
      <c r="AF14" s="311"/>
      <c r="AG14" s="113"/>
    </row>
    <row r="15" spans="1:33" ht="4.5" customHeight="1" x14ac:dyDescent="0.25">
      <c r="A15" s="180"/>
      <c r="B15" s="15"/>
      <c r="C15" s="110"/>
      <c r="D15" s="110"/>
      <c r="E15" s="110"/>
      <c r="F15" s="110"/>
      <c r="G15" s="110"/>
      <c r="H15" s="110"/>
      <c r="I15" s="108"/>
      <c r="J15" s="108"/>
      <c r="K15" s="19"/>
      <c r="L15" s="282"/>
      <c r="M15" s="282"/>
      <c r="N15" s="280"/>
      <c r="O15" s="280"/>
      <c r="P15" s="16"/>
      <c r="R15" s="273"/>
      <c r="S15" s="274"/>
      <c r="T15" s="275"/>
      <c r="U15" s="275"/>
      <c r="V15" s="275"/>
      <c r="W15" s="275"/>
      <c r="X15" s="275"/>
      <c r="Y15" s="275"/>
      <c r="Z15" s="275"/>
      <c r="AA15" s="275"/>
      <c r="AB15" s="275"/>
      <c r="AC15" s="316"/>
      <c r="AD15" s="317"/>
      <c r="AE15" s="310"/>
      <c r="AF15" s="311"/>
      <c r="AG15" s="113"/>
    </row>
    <row r="16" spans="1:33" ht="4.5" customHeight="1" thickBot="1" x14ac:dyDescent="0.3">
      <c r="A16" s="180"/>
      <c r="B16" s="24"/>
      <c r="C16" s="25"/>
      <c r="D16" s="25"/>
      <c r="E16" s="25"/>
      <c r="F16" s="25"/>
      <c r="G16" s="25"/>
      <c r="H16" s="25"/>
      <c r="I16" s="54"/>
      <c r="J16" s="54"/>
      <c r="K16" s="55"/>
      <c r="L16" s="282"/>
      <c r="M16" s="282"/>
      <c r="N16" s="280"/>
      <c r="O16" s="280"/>
      <c r="P16" s="16"/>
      <c r="R16" s="273"/>
      <c r="S16" s="274"/>
      <c r="T16" s="275"/>
      <c r="U16" s="275"/>
      <c r="V16" s="275"/>
      <c r="W16" s="275"/>
      <c r="X16" s="275"/>
      <c r="Y16" s="275"/>
      <c r="Z16" s="275"/>
      <c r="AA16" s="275"/>
      <c r="AB16" s="275"/>
      <c r="AC16" s="316"/>
      <c r="AD16" s="317"/>
      <c r="AE16" s="310"/>
      <c r="AF16" s="311"/>
      <c r="AG16" s="113"/>
    </row>
    <row r="17" spans="1:33" ht="16.5" customHeight="1" x14ac:dyDescent="0.25">
      <c r="A17" s="180"/>
      <c r="B17" s="15"/>
      <c r="C17" s="185" t="str">
        <f>VLOOKUP(13,Language!C3:AI68,Language!$B$2+1,FALSE)</f>
        <v>Name, Vorname Ansprechpartner</v>
      </c>
      <c r="D17" s="178"/>
      <c r="E17" s="178"/>
      <c r="F17" s="178"/>
      <c r="G17" s="133"/>
      <c r="H17" s="178" t="str">
        <f>VLOOKUP(14,Language!C3:AI68,Language!$B$2+1,FALSE)</f>
        <v>Abteilung</v>
      </c>
      <c r="I17" s="178"/>
      <c r="J17" s="178"/>
      <c r="K17" s="19"/>
      <c r="L17" s="282"/>
      <c r="M17" s="282"/>
      <c r="N17" s="280"/>
      <c r="O17" s="280"/>
      <c r="P17" s="16"/>
      <c r="R17" s="273"/>
      <c r="S17" s="274"/>
      <c r="T17" s="275"/>
      <c r="U17" s="275"/>
      <c r="V17" s="275"/>
      <c r="W17" s="275"/>
      <c r="X17" s="275"/>
      <c r="Y17" s="275"/>
      <c r="Z17" s="275"/>
      <c r="AA17" s="275"/>
      <c r="AB17" s="275"/>
      <c r="AC17" s="316"/>
      <c r="AD17" s="317"/>
      <c r="AE17" s="310"/>
      <c r="AF17" s="311"/>
      <c r="AG17" s="113"/>
    </row>
    <row r="18" spans="1:33" ht="16.5" customHeight="1" x14ac:dyDescent="0.25">
      <c r="A18" s="180"/>
      <c r="B18" s="15"/>
      <c r="C18" s="217" t="s">
        <v>21</v>
      </c>
      <c r="D18" s="294"/>
      <c r="E18" s="294"/>
      <c r="F18" s="294"/>
      <c r="G18" s="112"/>
      <c r="H18" s="283" t="str">
        <f>VLOOKUP(50,Language!C3:AI68,Language!$B$2+1,FALSE)</f>
        <v>Qualitätssicherung</v>
      </c>
      <c r="I18" s="294"/>
      <c r="J18" s="294"/>
      <c r="K18" s="109"/>
      <c r="L18" s="282"/>
      <c r="M18" s="282"/>
      <c r="N18" s="280"/>
      <c r="O18" s="280"/>
      <c r="P18" s="16"/>
      <c r="R18" s="273"/>
      <c r="S18" s="274"/>
      <c r="T18" s="275"/>
      <c r="U18" s="275"/>
      <c r="V18" s="275"/>
      <c r="W18" s="275"/>
      <c r="X18" s="275"/>
      <c r="Y18" s="275"/>
      <c r="Z18" s="275"/>
      <c r="AA18" s="275"/>
      <c r="AB18" s="275"/>
      <c r="AC18" s="316"/>
      <c r="AD18" s="317"/>
      <c r="AE18" s="310"/>
      <c r="AF18" s="311"/>
      <c r="AG18" s="113"/>
    </row>
    <row r="19" spans="1:33" ht="16.5" customHeight="1" x14ac:dyDescent="0.25">
      <c r="A19" s="180"/>
      <c r="B19" s="15"/>
      <c r="C19" s="185" t="str">
        <f>VLOOKUP(15,Language!C3:AI68,Language!$B$2+1,FALSE)</f>
        <v>E-Mail</v>
      </c>
      <c r="D19" s="196"/>
      <c r="E19" s="196"/>
      <c r="F19" s="196"/>
      <c r="G19" s="133"/>
      <c r="H19" s="181" t="str">
        <f>VLOOKUP(16,Language!C3:AI68,Language!$B$2+1,FALSE)</f>
        <v>Telefon</v>
      </c>
      <c r="I19" s="178"/>
      <c r="J19" s="178"/>
      <c r="K19" s="109"/>
      <c r="L19" s="282"/>
      <c r="M19" s="282"/>
      <c r="N19" s="280"/>
      <c r="O19" s="280"/>
      <c r="P19" s="16"/>
      <c r="R19" s="273"/>
      <c r="S19" s="274"/>
      <c r="T19" s="275"/>
      <c r="U19" s="275"/>
      <c r="V19" s="275"/>
      <c r="W19" s="275"/>
      <c r="X19" s="275"/>
      <c r="Y19" s="275"/>
      <c r="Z19" s="275"/>
      <c r="AA19" s="275"/>
      <c r="AB19" s="275"/>
      <c r="AC19" s="316"/>
      <c r="AD19" s="317"/>
      <c r="AE19" s="310"/>
      <c r="AF19" s="311"/>
      <c r="AG19" s="113"/>
    </row>
    <row r="20" spans="1:33" ht="16.5" customHeight="1" x14ac:dyDescent="0.25">
      <c r="A20" s="180"/>
      <c r="B20" s="15"/>
      <c r="C20" s="197" t="s">
        <v>64</v>
      </c>
      <c r="D20" s="296"/>
      <c r="E20" s="296"/>
      <c r="F20" s="296"/>
      <c r="G20" s="112"/>
      <c r="H20" s="297" t="s">
        <v>62</v>
      </c>
      <c r="I20" s="298"/>
      <c r="J20" s="298"/>
      <c r="K20" s="109"/>
      <c r="L20" s="282"/>
      <c r="M20" s="282"/>
      <c r="N20" s="280"/>
      <c r="O20" s="280"/>
      <c r="P20" s="16"/>
      <c r="R20" s="273"/>
      <c r="S20" s="274"/>
      <c r="T20" s="275"/>
      <c r="U20" s="275"/>
      <c r="V20" s="275"/>
      <c r="W20" s="275"/>
      <c r="X20" s="275"/>
      <c r="Y20" s="275"/>
      <c r="Z20" s="275"/>
      <c r="AA20" s="275"/>
      <c r="AB20" s="275"/>
      <c r="AC20" s="318"/>
      <c r="AD20" s="319"/>
      <c r="AE20" s="312"/>
      <c r="AF20" s="313"/>
      <c r="AG20" s="113"/>
    </row>
    <row r="21" spans="1:33" ht="16.5" customHeight="1" x14ac:dyDescent="0.25">
      <c r="A21" s="180"/>
      <c r="B21" s="15"/>
      <c r="C21" s="132" t="str">
        <f>VLOOKUP(17,Language!C3:AI68,Language!$B$2+1,FALSE)</f>
        <v>Problembeschreibung aus dem Mängelbericht. Gegebenenfalls genauer beschreiben</v>
      </c>
      <c r="D21" s="108"/>
      <c r="E21" s="20"/>
      <c r="F21" s="21"/>
      <c r="G21" s="21"/>
      <c r="H21" s="110"/>
      <c r="I21" s="108"/>
      <c r="J21" s="20"/>
      <c r="K21" s="20"/>
      <c r="L21" s="22"/>
      <c r="M21" s="22"/>
      <c r="N21" s="22"/>
      <c r="O21" s="22"/>
      <c r="P21" s="16"/>
      <c r="R21" s="273"/>
      <c r="S21" s="65"/>
      <c r="T21" s="135" t="str">
        <f>VLOOKUP(17,Language!C3:AI68,Language!$B$2+1,FALSE)</f>
        <v>Problembeschreibung aus dem Mängelbericht. Gegebenenfalls genauer beschreiben</v>
      </c>
      <c r="U21" s="67"/>
      <c r="V21" s="71"/>
      <c r="W21" s="72"/>
      <c r="X21" s="72"/>
      <c r="Y21" s="68"/>
      <c r="Z21" s="67"/>
      <c r="AA21" s="71"/>
      <c r="AB21" s="71"/>
      <c r="AC21" s="73"/>
      <c r="AD21" s="73"/>
      <c r="AE21" s="73"/>
      <c r="AF21" s="73"/>
      <c r="AG21" s="66"/>
    </row>
    <row r="22" spans="1:33" ht="58.5" customHeight="1" x14ac:dyDescent="0.25">
      <c r="A22" s="180"/>
      <c r="B22" s="107"/>
      <c r="C22" s="291" t="str">
        <f>VLOOKUP(85,Language!C3:AI200,Language!$B$2+1,FALSE)</f>
        <v>Die Passbohrungen 48H7 und die Passfedernuten sind mitlackiert worden.</v>
      </c>
      <c r="D22" s="283"/>
      <c r="E22" s="284"/>
      <c r="F22" s="284"/>
      <c r="G22" s="284"/>
      <c r="H22" s="284"/>
      <c r="I22" s="284"/>
      <c r="J22" s="284"/>
      <c r="K22" s="284"/>
      <c r="L22" s="284"/>
      <c r="M22" s="284"/>
      <c r="N22" s="284"/>
      <c r="O22" s="284"/>
      <c r="P22" s="23"/>
      <c r="R22" s="273"/>
      <c r="S22" s="105"/>
      <c r="T22" s="326" t="str">
        <f>VLOOKUP(33,Language!C3:AI68,Language!$B$2+1,FALSE)</f>
        <v>Problembeschreibung aus dem Mängelbericht. Gegebenenfalls genauer beschreiben</v>
      </c>
      <c r="U22" s="327"/>
      <c r="V22" s="327"/>
      <c r="W22" s="327"/>
      <c r="X22" s="327"/>
      <c r="Y22" s="327"/>
      <c r="Z22" s="327"/>
      <c r="AA22" s="327"/>
      <c r="AB22" s="327"/>
      <c r="AC22" s="327"/>
      <c r="AD22" s="327"/>
      <c r="AE22" s="327"/>
      <c r="AF22" s="277"/>
      <c r="AG22" s="74"/>
    </row>
    <row r="23" spans="1:33" ht="6.75" customHeight="1" thickBot="1" x14ac:dyDescent="0.3">
      <c r="A23" s="180"/>
      <c r="B23" s="24"/>
      <c r="C23" s="25"/>
      <c r="D23" s="25"/>
      <c r="E23" s="26"/>
      <c r="F23" s="26"/>
      <c r="G23" s="26"/>
      <c r="H23" s="26"/>
      <c r="I23" s="26"/>
      <c r="J23" s="26"/>
      <c r="K23" s="26"/>
      <c r="L23" s="26"/>
      <c r="M23" s="26"/>
      <c r="N23" s="26"/>
      <c r="O23" s="26"/>
      <c r="P23" s="27"/>
      <c r="R23" s="273"/>
      <c r="S23" s="69"/>
      <c r="T23" s="70"/>
      <c r="U23" s="70"/>
      <c r="V23" s="75"/>
      <c r="W23" s="75"/>
      <c r="X23" s="75"/>
      <c r="Y23" s="75"/>
      <c r="Z23" s="75"/>
      <c r="AA23" s="75"/>
      <c r="AB23" s="75"/>
      <c r="AC23" s="75"/>
      <c r="AD23" s="75"/>
      <c r="AE23" s="75"/>
      <c r="AF23" s="75"/>
      <c r="AG23" s="76"/>
    </row>
    <row r="24" spans="1:33" ht="5.25" customHeight="1" x14ac:dyDescent="0.25">
      <c r="A24" s="180"/>
      <c r="B24" s="28"/>
      <c r="C24" s="29"/>
      <c r="D24" s="29"/>
      <c r="E24" s="30"/>
      <c r="F24" s="30"/>
      <c r="G24" s="30"/>
      <c r="H24" s="30"/>
      <c r="I24" s="30"/>
      <c r="J24" s="30"/>
      <c r="K24" s="30"/>
      <c r="L24" s="30"/>
      <c r="M24" s="30"/>
      <c r="N24" s="30"/>
      <c r="O24" s="30"/>
      <c r="P24" s="31"/>
      <c r="R24" s="273"/>
      <c r="S24" s="77"/>
      <c r="T24" s="78"/>
      <c r="U24" s="78"/>
      <c r="V24" s="79"/>
      <c r="W24" s="79"/>
      <c r="X24" s="79"/>
      <c r="Y24" s="79"/>
      <c r="Z24" s="79"/>
      <c r="AA24" s="79"/>
      <c r="AB24" s="79"/>
      <c r="AC24" s="79"/>
      <c r="AD24" s="79"/>
      <c r="AE24" s="79"/>
      <c r="AF24" s="79"/>
      <c r="AG24" s="80"/>
    </row>
    <row r="25" spans="1:33" ht="18" customHeight="1" x14ac:dyDescent="0.25">
      <c r="A25" s="180"/>
      <c r="B25" s="15"/>
      <c r="C25" s="178" t="str">
        <f>VLOOKUP(18,Language!C3:AI68,Language!$B$2+1,FALSE)</f>
        <v>Sofortmaßnahmen</v>
      </c>
      <c r="D25" s="178"/>
      <c r="E25" s="178"/>
      <c r="F25" s="178"/>
      <c r="G25" s="178"/>
      <c r="H25" s="178"/>
      <c r="I25" s="178"/>
      <c r="J25" s="178"/>
      <c r="K25" s="178"/>
      <c r="L25" s="178"/>
      <c r="M25" s="108"/>
      <c r="N25" s="108"/>
      <c r="O25" s="134" t="str">
        <f>VLOOKUP(19,Language!C3:AI68,Language!$B$2+1,FALSE)</f>
        <v>Einführungsdatum</v>
      </c>
      <c r="P25" s="32"/>
      <c r="R25" s="273"/>
      <c r="S25" s="65"/>
      <c r="T25" s="325" t="str">
        <f>VLOOKUP(18,Language!C3:AI68,Language!$B$2+1,FALSE)</f>
        <v>Sofortmaßnahmen</v>
      </c>
      <c r="U25" s="325"/>
      <c r="V25" s="325"/>
      <c r="W25" s="325"/>
      <c r="X25" s="325"/>
      <c r="Y25" s="325"/>
      <c r="Z25" s="325"/>
      <c r="AA25" s="325"/>
      <c r="AB25" s="325"/>
      <c r="AC25" s="325"/>
      <c r="AD25" s="67"/>
      <c r="AE25" s="67"/>
      <c r="AF25" s="136" t="str">
        <f>VLOOKUP(19,Language!C3:AI68,Language!$B$2+1,FALSE)</f>
        <v>Einführungsdatum</v>
      </c>
      <c r="AG25" s="81"/>
    </row>
    <row r="26" spans="1:33" ht="35.25" customHeight="1" x14ac:dyDescent="0.25">
      <c r="A26" s="180"/>
      <c r="B26" s="15"/>
      <c r="C26" s="292" t="str">
        <f>VLOOKUP(86,Language!C3:AI200,Language!$B$2+1,FALSE)</f>
        <v>Lagerbestand kontrollieren - Lagerbestand der betroffenen Materialnummer kontrolliert - Lagerbestand vorhanden und gesperrt.</v>
      </c>
      <c r="D26" s="292"/>
      <c r="E26" s="292"/>
      <c r="F26" s="292"/>
      <c r="G26" s="292"/>
      <c r="H26" s="292"/>
      <c r="I26" s="292"/>
      <c r="J26" s="292"/>
      <c r="K26" s="292"/>
      <c r="L26" s="292"/>
      <c r="M26" s="293"/>
      <c r="N26" s="293"/>
      <c r="O26" s="5">
        <f>VLOOKUP(89,Language!C3:AI200,Language!$B$2+1,FALSE)</f>
        <v>44532</v>
      </c>
      <c r="P26" s="33"/>
      <c r="R26" s="273"/>
      <c r="S26" s="65"/>
      <c r="T26" s="223" t="str">
        <f>VLOOKUP(34,Language!C3:AI68,Language!$B$2+1,FALSE)</f>
        <v>Beispiele für Sofortmaßnahmen:
Sind die zuständigen Mitarbeiter über die Reklamation informiert worden?
Sind fehlerhafte Bauteile gesperrt worden?
Ist sichergestellt, dass die nächste Auslieferung an W&amp;H geprüft wurde und fehlerfrei ist?
Ist eine Warenausgangskontrolle installiert worden?
Sind Lagerbestände vorhanden und müssen diese überprüft werden?
Sind weitere W&amp;H-Bestellungen vorhanden und müssen diese überprüft werden?
Sind ähnliche Materialnummern/ Bauteile betroffen?
Ist die termingerechte Lieferung an W&amp;H sichergestellt?</v>
      </c>
      <c r="U26" s="224"/>
      <c r="V26" s="224"/>
      <c r="W26" s="224"/>
      <c r="X26" s="224"/>
      <c r="Y26" s="224"/>
      <c r="Z26" s="224"/>
      <c r="AA26" s="224"/>
      <c r="AB26" s="224"/>
      <c r="AC26" s="224"/>
      <c r="AD26" s="224"/>
      <c r="AE26" s="225"/>
      <c r="AF26" s="232" t="str">
        <f>VLOOKUP(35,Language!C3:AI68,Language!$B$2+1,FALSE)</f>
        <v>Wann wurde die 
Sofortmaßnahme eingeführt? (Datum)</v>
      </c>
      <c r="AG26" s="82"/>
    </row>
    <row r="27" spans="1:33" ht="35.25" customHeight="1" x14ac:dyDescent="0.25">
      <c r="A27" s="180"/>
      <c r="B27" s="15"/>
      <c r="C27" s="292" t="str">
        <f>VLOOKUP(87,Language!C3:AI200,Language!$B$2+1,FALSE)</f>
        <v>Ähnliche Materialnummern kontrollieren - Materialnummer 34532113 ist ebenfalls betroffen.</v>
      </c>
      <c r="D27" s="292"/>
      <c r="E27" s="292"/>
      <c r="F27" s="292"/>
      <c r="G27" s="292"/>
      <c r="H27" s="292"/>
      <c r="I27" s="292"/>
      <c r="J27" s="292"/>
      <c r="K27" s="292"/>
      <c r="L27" s="292"/>
      <c r="M27" s="293"/>
      <c r="N27" s="293"/>
      <c r="O27" s="5">
        <f>VLOOKUP(89,Language!C3:AI200,Language!$B$2+1,FALSE)</f>
        <v>44532</v>
      </c>
      <c r="P27" s="34"/>
      <c r="R27" s="273"/>
      <c r="S27" s="65"/>
      <c r="T27" s="226"/>
      <c r="U27" s="227"/>
      <c r="V27" s="227"/>
      <c r="W27" s="227"/>
      <c r="X27" s="227"/>
      <c r="Y27" s="227"/>
      <c r="Z27" s="227"/>
      <c r="AA27" s="227"/>
      <c r="AB27" s="227"/>
      <c r="AC27" s="227"/>
      <c r="AD27" s="227"/>
      <c r="AE27" s="228"/>
      <c r="AF27" s="233"/>
      <c r="AG27" s="83"/>
    </row>
    <row r="28" spans="1:33" ht="35.25" customHeight="1" x14ac:dyDescent="0.25">
      <c r="A28" s="180"/>
      <c r="B28" s="15"/>
      <c r="C28" s="292" t="str">
        <f>VLOOKUP(88,Language!C3:AI200,Language!$B$2+1,FALSE)</f>
        <v>Zuständige Mitarbeiter in der Produktion über den Mängelbericht unterrichten - Mitarbeiter wurden unterrichtet.</v>
      </c>
      <c r="D28" s="292"/>
      <c r="E28" s="292"/>
      <c r="F28" s="292"/>
      <c r="G28" s="292"/>
      <c r="H28" s="292"/>
      <c r="I28" s="292"/>
      <c r="J28" s="292"/>
      <c r="K28" s="292"/>
      <c r="L28" s="292"/>
      <c r="M28" s="293"/>
      <c r="N28" s="293"/>
      <c r="O28" s="5">
        <f>VLOOKUP(89,Language!C3:AI200,Language!$B$2+1,FALSE)</f>
        <v>44532</v>
      </c>
      <c r="P28" s="34"/>
      <c r="R28" s="273"/>
      <c r="S28" s="65"/>
      <c r="T28" s="226"/>
      <c r="U28" s="227"/>
      <c r="V28" s="227"/>
      <c r="W28" s="227"/>
      <c r="X28" s="227"/>
      <c r="Y28" s="227"/>
      <c r="Z28" s="227"/>
      <c r="AA28" s="227"/>
      <c r="AB28" s="227"/>
      <c r="AC28" s="227"/>
      <c r="AD28" s="227"/>
      <c r="AE28" s="228"/>
      <c r="AF28" s="233"/>
      <c r="AG28" s="83"/>
    </row>
    <row r="29" spans="1:33" ht="35.25" customHeight="1" x14ac:dyDescent="0.25">
      <c r="A29" s="180"/>
      <c r="B29" s="15"/>
      <c r="C29" s="292"/>
      <c r="D29" s="292"/>
      <c r="E29" s="292"/>
      <c r="F29" s="292"/>
      <c r="G29" s="292"/>
      <c r="H29" s="292"/>
      <c r="I29" s="292"/>
      <c r="J29" s="292"/>
      <c r="K29" s="292"/>
      <c r="L29" s="292"/>
      <c r="M29" s="293"/>
      <c r="N29" s="293"/>
      <c r="O29" s="5"/>
      <c r="P29" s="34"/>
      <c r="R29" s="273"/>
      <c r="S29" s="65"/>
      <c r="T29" s="226"/>
      <c r="U29" s="227"/>
      <c r="V29" s="227"/>
      <c r="W29" s="227"/>
      <c r="X29" s="227"/>
      <c r="Y29" s="227"/>
      <c r="Z29" s="227"/>
      <c r="AA29" s="227"/>
      <c r="AB29" s="227"/>
      <c r="AC29" s="227"/>
      <c r="AD29" s="227"/>
      <c r="AE29" s="228"/>
      <c r="AF29" s="233"/>
      <c r="AG29" s="83"/>
    </row>
    <row r="30" spans="1:33" ht="35.25" customHeight="1" x14ac:dyDescent="0.25">
      <c r="A30" s="180"/>
      <c r="B30" s="15"/>
      <c r="C30" s="292"/>
      <c r="D30" s="292"/>
      <c r="E30" s="292"/>
      <c r="F30" s="292"/>
      <c r="G30" s="292"/>
      <c r="H30" s="292"/>
      <c r="I30" s="292"/>
      <c r="J30" s="292"/>
      <c r="K30" s="292"/>
      <c r="L30" s="292"/>
      <c r="M30" s="293"/>
      <c r="N30" s="293"/>
      <c r="O30" s="5"/>
      <c r="P30" s="34"/>
      <c r="R30" s="273"/>
      <c r="S30" s="65"/>
      <c r="T30" s="226"/>
      <c r="U30" s="227"/>
      <c r="V30" s="227"/>
      <c r="W30" s="227"/>
      <c r="X30" s="227"/>
      <c r="Y30" s="227"/>
      <c r="Z30" s="227"/>
      <c r="AA30" s="227"/>
      <c r="AB30" s="227"/>
      <c r="AC30" s="227"/>
      <c r="AD30" s="227"/>
      <c r="AE30" s="228"/>
      <c r="AF30" s="233"/>
      <c r="AG30" s="83"/>
    </row>
    <row r="31" spans="1:33" ht="35.25" customHeight="1" x14ac:dyDescent="0.25">
      <c r="A31" s="180"/>
      <c r="B31" s="15"/>
      <c r="C31" s="292"/>
      <c r="D31" s="292"/>
      <c r="E31" s="292"/>
      <c r="F31" s="292"/>
      <c r="G31" s="292"/>
      <c r="H31" s="292"/>
      <c r="I31" s="292"/>
      <c r="J31" s="292"/>
      <c r="K31" s="292"/>
      <c r="L31" s="292"/>
      <c r="M31" s="293"/>
      <c r="N31" s="293"/>
      <c r="O31" s="5"/>
      <c r="P31" s="34"/>
      <c r="R31" s="273"/>
      <c r="S31" s="65"/>
      <c r="T31" s="229"/>
      <c r="U31" s="230"/>
      <c r="V31" s="230"/>
      <c r="W31" s="230"/>
      <c r="X31" s="230"/>
      <c r="Y31" s="230"/>
      <c r="Z31" s="230"/>
      <c r="AA31" s="230"/>
      <c r="AB31" s="230"/>
      <c r="AC31" s="230"/>
      <c r="AD31" s="230"/>
      <c r="AE31" s="231"/>
      <c r="AF31" s="234"/>
      <c r="AG31" s="83"/>
    </row>
    <row r="32" spans="1:33" ht="4.5" customHeight="1" thickBot="1" x14ac:dyDescent="0.3">
      <c r="A32" s="180"/>
      <c r="B32" s="24"/>
      <c r="C32" s="35"/>
      <c r="D32" s="35"/>
      <c r="E32" s="35"/>
      <c r="F32" s="35"/>
      <c r="G32" s="35"/>
      <c r="H32" s="35"/>
      <c r="I32" s="35"/>
      <c r="J32" s="35"/>
      <c r="K32" s="35"/>
      <c r="L32" s="35"/>
      <c r="M32" s="35"/>
      <c r="N32" s="35"/>
      <c r="O32" s="36"/>
      <c r="P32" s="37"/>
      <c r="R32" s="273"/>
      <c r="S32" s="69"/>
      <c r="T32" s="84"/>
      <c r="U32" s="84"/>
      <c r="V32" s="84"/>
      <c r="W32" s="84"/>
      <c r="X32" s="84"/>
      <c r="Y32" s="84"/>
      <c r="Z32" s="84"/>
      <c r="AA32" s="84"/>
      <c r="AB32" s="84"/>
      <c r="AC32" s="84"/>
      <c r="AD32" s="84"/>
      <c r="AE32" s="84"/>
      <c r="AF32" s="85"/>
      <c r="AG32" s="86"/>
    </row>
    <row r="33" spans="1:33" ht="6" customHeight="1" x14ac:dyDescent="0.25">
      <c r="A33" s="180"/>
      <c r="B33" s="28"/>
      <c r="C33" s="38"/>
      <c r="D33" s="38"/>
      <c r="E33" s="38"/>
      <c r="F33" s="38"/>
      <c r="G33" s="38"/>
      <c r="H33" s="38"/>
      <c r="I33" s="38"/>
      <c r="J33" s="38"/>
      <c r="K33" s="38"/>
      <c r="L33" s="38"/>
      <c r="M33" s="38"/>
      <c r="N33" s="38"/>
      <c r="O33" s="39"/>
      <c r="P33" s="40"/>
      <c r="R33" s="273"/>
      <c r="S33" s="77"/>
      <c r="T33" s="87"/>
      <c r="U33" s="87"/>
      <c r="V33" s="87"/>
      <c r="W33" s="87"/>
      <c r="X33" s="87"/>
      <c r="Y33" s="87"/>
      <c r="Z33" s="87"/>
      <c r="AA33" s="87"/>
      <c r="AB33" s="87"/>
      <c r="AC33" s="87"/>
      <c r="AD33" s="87"/>
      <c r="AE33" s="87"/>
      <c r="AF33" s="88"/>
      <c r="AG33" s="89"/>
    </row>
    <row r="34" spans="1:33" x14ac:dyDescent="0.25">
      <c r="A34" s="180"/>
      <c r="B34" s="15"/>
      <c r="C34" s="41"/>
      <c r="D34" s="178" t="str">
        <f>VLOOKUP(20,Language!C3:AI68,Language!$B$2+1,FALSE)</f>
        <v>Ursachenanalyse</v>
      </c>
      <c r="E34" s="178"/>
      <c r="F34" s="178"/>
      <c r="G34" s="178"/>
      <c r="H34" s="178"/>
      <c r="I34" s="178"/>
      <c r="J34" s="178"/>
      <c r="K34" s="178"/>
      <c r="L34" s="178"/>
      <c r="M34" s="178"/>
      <c r="N34" s="178"/>
      <c r="O34" s="178"/>
      <c r="P34" s="42"/>
      <c r="R34" s="273"/>
      <c r="S34" s="65"/>
      <c r="T34" s="90"/>
      <c r="U34" s="328" t="str">
        <f>VLOOKUP(20,Language!C3:AI68,Language!$B$2+1,FALSE)</f>
        <v>Ursachenanalyse</v>
      </c>
      <c r="V34" s="328"/>
      <c r="W34" s="328"/>
      <c r="X34" s="328"/>
      <c r="Y34" s="328"/>
      <c r="Z34" s="328"/>
      <c r="AA34" s="328"/>
      <c r="AB34" s="328"/>
      <c r="AC34" s="328"/>
      <c r="AD34" s="328"/>
      <c r="AE34" s="328"/>
      <c r="AF34" s="328"/>
      <c r="AG34" s="91"/>
    </row>
    <row r="35" spans="1:33" ht="105.75" customHeight="1" x14ac:dyDescent="0.25">
      <c r="A35" s="180"/>
      <c r="B35" s="15"/>
      <c r="C35" s="56" t="str">
        <f>VLOOKUP(21,Language!C3:AI68,Language!$B$2+1,FALSE)</f>
        <v>Auftreten</v>
      </c>
      <c r="D35" s="290" t="str">
        <f>VLOOKUP(90,Language!C3:AI200,Language!$B$2+1,FALSE)</f>
        <v xml:space="preserve">Die Passbohrungen 48H7 und Passfedernuten wurden nicht für das Lackieren abgedeckt, da es keine Vorgabe hierzu gibt. </v>
      </c>
      <c r="E35" s="290"/>
      <c r="F35" s="290"/>
      <c r="G35" s="290"/>
      <c r="H35" s="290"/>
      <c r="I35" s="290"/>
      <c r="J35" s="290"/>
      <c r="K35" s="290"/>
      <c r="L35" s="290"/>
      <c r="M35" s="290"/>
      <c r="N35" s="290"/>
      <c r="O35" s="290"/>
      <c r="P35" s="43"/>
      <c r="R35" s="273"/>
      <c r="S35" s="65"/>
      <c r="T35" s="92" t="str">
        <f>VLOOKUP(21,Language!C3:AI68,Language!$B$2+1,FALSE)</f>
        <v>Auftreten</v>
      </c>
      <c r="U35" s="329" t="str">
        <f>VLOOKUP(36,Language!C3:AI68,Language!$B$2+1,FALSE)</f>
        <v>Wieso ist das Problem aufgetreten? Was ist die Grundursache für das Auftreten des Problems? 
Bei komplexen Problemen sind auch mehrere Grundursachen möglich.
Möglichst Nachweise für die Grundursache beifügen.</v>
      </c>
      <c r="V35" s="330"/>
      <c r="W35" s="330"/>
      <c r="X35" s="330"/>
      <c r="Y35" s="330"/>
      <c r="Z35" s="330"/>
      <c r="AA35" s="330"/>
      <c r="AB35" s="330"/>
      <c r="AC35" s="330"/>
      <c r="AD35" s="330"/>
      <c r="AE35" s="330"/>
      <c r="AF35" s="331"/>
      <c r="AG35" s="93"/>
    </row>
    <row r="36" spans="1:33" ht="105.75" customHeight="1" x14ac:dyDescent="0.25">
      <c r="A36" s="180"/>
      <c r="B36" s="15"/>
      <c r="C36" s="56" t="str">
        <f>VLOOKUP(22,Language!C3:AI68,Language!$B$2+1,FALSE)</f>
        <v>Nicht-Entdecken</v>
      </c>
      <c r="D36" s="203" t="str">
        <f>VLOOKUP(91,Language!C3:AI200,Language!$B$2+1,FALSE)</f>
        <v>Weil das Bauteil keiner Warenausgangskontrolle unterliegt, wurden die überlackierten Passbohrungen und Passfedernuten nicht entdeckt.</v>
      </c>
      <c r="E36" s="203"/>
      <c r="F36" s="203"/>
      <c r="G36" s="203"/>
      <c r="H36" s="203"/>
      <c r="I36" s="203"/>
      <c r="J36" s="203"/>
      <c r="K36" s="203"/>
      <c r="L36" s="203"/>
      <c r="M36" s="203"/>
      <c r="N36" s="203"/>
      <c r="O36" s="203"/>
      <c r="P36" s="23"/>
      <c r="R36" s="273"/>
      <c r="S36" s="65"/>
      <c r="T36" s="92" t="str">
        <f>VLOOKUP(22,Language!C3:AI68,Language!$B$2+1,FALSE)</f>
        <v>Nicht-Entdecken</v>
      </c>
      <c r="U36" s="332" t="str">
        <f>VLOOKUP(37,Language!C3:AI68,Language!$B$2+1,FALSE)</f>
        <v>Wieso wurde das Problem nicht entdeckt? Was ist die Grundursache für das Nicht-Entdecken des Problems? 
Mehrfachnennungen sind möglich.
Möglichst Nachweise für die Grundursache beifügen.</v>
      </c>
      <c r="V36" s="333"/>
      <c r="W36" s="333"/>
      <c r="X36" s="333"/>
      <c r="Y36" s="333"/>
      <c r="Z36" s="333"/>
      <c r="AA36" s="333"/>
      <c r="AB36" s="333"/>
      <c r="AC36" s="333"/>
      <c r="AD36" s="333"/>
      <c r="AE36" s="333"/>
      <c r="AF36" s="334"/>
      <c r="AG36" s="74"/>
    </row>
    <row r="37" spans="1:33" x14ac:dyDescent="0.25">
      <c r="A37" s="180"/>
      <c r="B37" s="15"/>
      <c r="C37" s="41"/>
      <c r="D37" s="188" t="str">
        <f>VLOOKUP(24,Language!C3:AI68,Language!$B$2+1,FALSE)</f>
        <v>Nachhaltige Korrekturmaßnahmen</v>
      </c>
      <c r="E37" s="188"/>
      <c r="F37" s="188"/>
      <c r="G37" s="188"/>
      <c r="H37" s="188"/>
      <c r="I37" s="188"/>
      <c r="J37" s="188"/>
      <c r="K37" s="212"/>
      <c r="L37" s="212"/>
      <c r="M37" s="188" t="str">
        <f>VLOOKUP(25,Language!C3:AI68,Language!$B$2+1,FALSE)</f>
        <v>Wirksamkeitsnachweis (nach Möglichkeit mitsenden)</v>
      </c>
      <c r="N37" s="213"/>
      <c r="O37" s="44" t="str">
        <f>VLOOKUP(26,Language!C3:AI68,Language!$B$2+1,FALSE)</f>
        <v>Einführungsdatum</v>
      </c>
      <c r="P37" s="45"/>
      <c r="R37" s="273"/>
      <c r="S37" s="65"/>
      <c r="T37" s="90"/>
      <c r="U37" s="335" t="str">
        <f>VLOOKUP(24,Language!C3:AI68,Language!$B$2+1,FALSE)</f>
        <v>Nachhaltige Korrekturmaßnahmen</v>
      </c>
      <c r="V37" s="335"/>
      <c r="W37" s="335"/>
      <c r="X37" s="335"/>
      <c r="Y37" s="335"/>
      <c r="Z37" s="335"/>
      <c r="AA37" s="335"/>
      <c r="AB37" s="335"/>
      <c r="AC37" s="335"/>
      <c r="AD37" s="335" t="str">
        <f>VLOOKUP(25,Language!C3:AI68,Language!$B$2+1,FALSE)</f>
        <v>Wirksamkeitsnachweis (nach Möglichkeit mitsenden)</v>
      </c>
      <c r="AE37" s="335"/>
      <c r="AF37" s="137" t="str">
        <f>VLOOKUP(26,Language!C3:AI68,Language!$B$2+1,FALSE)</f>
        <v>Einführungsdatum</v>
      </c>
      <c r="AG37" s="94"/>
    </row>
    <row r="38" spans="1:33" ht="149.25" customHeight="1" x14ac:dyDescent="0.25">
      <c r="A38" s="180"/>
      <c r="B38" s="15"/>
      <c r="C38" s="56" t="str">
        <f>VLOOKUP(27,Language!C3:AI68,Language!$B$2+1,FALSE)</f>
        <v>Auftreten</v>
      </c>
      <c r="D38" s="203" t="str">
        <f>VLOOKUP(92,Language!C3:AI200,Language!$B$2+1,FALSE)</f>
        <v>Es wird eine Arbeitsanweisung erstellt, nach der alle Passbohrungen und Passfedernuten vor dem Lackieren abgedeckt werden müssen.
Die Mitarbeiter in der Lackiererei werden über die neue Arbeitsanweisung geschult.</v>
      </c>
      <c r="E38" s="203"/>
      <c r="F38" s="203"/>
      <c r="G38" s="203"/>
      <c r="H38" s="203"/>
      <c r="I38" s="203"/>
      <c r="J38" s="203"/>
      <c r="K38" s="285"/>
      <c r="L38" s="285"/>
      <c r="M38" s="288" t="str">
        <f>VLOOKUP(94,Language!C3:AI200,Language!$B$2+1,FALSE)</f>
        <v>Die Arbeitsanweisung und der Schulungsnachweis werden mit dem WH-A4 Formular an W&amp;H gesendet.</v>
      </c>
      <c r="N38" s="289"/>
      <c r="O38" s="57">
        <f>VLOOKUP(96,Language!C3:AI200,Language!$B$2+1,FALSE)</f>
        <v>44540</v>
      </c>
      <c r="P38" s="46"/>
      <c r="R38" s="273"/>
      <c r="S38" s="65"/>
      <c r="T38" s="92" t="str">
        <f>VLOOKUP(21,Language!C3:AI68,Language!$B$2+1,FALSE)</f>
        <v>Auftreten</v>
      </c>
      <c r="U38" s="332" t="str">
        <f>VLOOKUP(38,Language!C3:AI68,Language!$B$2+1,FALSE)</f>
        <v>Die nachhaltige Problemlösung (Fehlervermeidung) muss im Vordergrund stehen.
Für jede Grundursache (Auftreten) muss mindestens eine Korrekturmaßnahme eingetragen werden.
Eine einfache Mitarbeiterunterweisung wird im Qualitätsmanagement nicht als nachhaltige Korrekturmaßnahme akzeptiert.</v>
      </c>
      <c r="V38" s="333"/>
      <c r="W38" s="333"/>
      <c r="X38" s="333"/>
      <c r="Y38" s="333"/>
      <c r="Z38" s="333"/>
      <c r="AA38" s="333"/>
      <c r="AB38" s="333"/>
      <c r="AC38" s="334"/>
      <c r="AD38" s="336" t="str">
        <f>VLOOKUP(39,Language!C3:AI68,Language!$B$2+1,FALSE)</f>
        <v>Bitte geben Sie einen Nachweis zur Wirksamkeit der eingeführten Korrekturmaßnahme (Auftreten) an. Beispiel: Audit, Prozessbestätigung, Validierung und andere. Der Wirksamkeitsnachweis ist mit dem 
WH-A4 Formular an W&amp;H zu senden.</v>
      </c>
      <c r="AE38" s="337"/>
      <c r="AF38" s="106" t="str">
        <f>VLOOKUP(40,Language!C3:AI68,Language!$B$2+1,FALSE)</f>
        <v>Wann wurde die Korrekturmaßnahme (Auftreten) eingeführt?</v>
      </c>
      <c r="AG38" s="95"/>
    </row>
    <row r="39" spans="1:33" ht="149.25" customHeight="1" x14ac:dyDescent="0.25">
      <c r="A39" s="180"/>
      <c r="B39" s="15"/>
      <c r="C39" s="56" t="str">
        <f>VLOOKUP(28,Language!C3:AI68,Language!$B$2+1,FALSE)</f>
        <v>Nicht-Entdecken</v>
      </c>
      <c r="D39" s="203" t="str">
        <f>VLOOKUP(93,Language!C3:AI200,Language!$B$2+1,FALSE)</f>
        <v>Für alle lackierten Bauteile wird eine Warenausgangskontrolle eingeführt.</v>
      </c>
      <c r="E39" s="203"/>
      <c r="F39" s="203"/>
      <c r="G39" s="203"/>
      <c r="H39" s="203"/>
      <c r="I39" s="203"/>
      <c r="J39" s="203"/>
      <c r="K39" s="285"/>
      <c r="L39" s="285"/>
      <c r="M39" s="286" t="str">
        <f>VLOOKUP(95,Language!C3:AI200,Language!$B$2+1,FALSE)</f>
        <v>Die Prozessbeschreibung der Warenausgangskontrolle wird mit dem WH-A4 Formular an W&amp;H gesendet.</v>
      </c>
      <c r="N39" s="287"/>
      <c r="O39" s="57">
        <f>VLOOKUP(96,Language!C3:AI200,Language!$B$2+1,FALSE)</f>
        <v>44540</v>
      </c>
      <c r="P39" s="46"/>
      <c r="R39" s="273"/>
      <c r="S39" s="65"/>
      <c r="T39" s="92" t="str">
        <f>VLOOKUP(22,Language!C3:AI68,Language!$B$2+1,FALSE)</f>
        <v>Nicht-Entdecken</v>
      </c>
      <c r="U39" s="332" t="str">
        <f>VLOOKUP(41,Language!C3:AI68,Language!$B$2+1,FALSE)</f>
        <v>Die nachhaltige Problemlösung (Fehlervermeidung) muss im Vordergrund stehen.
Für jede Grundursache (Nicht entdecken) muss mindestens eine Korrekturmaßnahme eingetragen werden. 
Eine einfache Mitarbeiterunterweisung wird im Qualitätsmanagement nicht als nachhaltige Korrekturmaßnahme akzeptiert.</v>
      </c>
      <c r="V39" s="333"/>
      <c r="W39" s="333"/>
      <c r="X39" s="333"/>
      <c r="Y39" s="333"/>
      <c r="Z39" s="333"/>
      <c r="AA39" s="333"/>
      <c r="AB39" s="333"/>
      <c r="AC39" s="334"/>
      <c r="AD39" s="338" t="str">
        <f>VLOOKUP(42,Language!C3:AI68,Language!$B$2+1,FALSE)</f>
        <v>Bitte geben Sie einen Nachweis zur Wirksamkeit der eingeführten Korrekturmaßnahme (Nicht entdecken) an. Beispiel: Audit, Prozessbestätigung, Validierung und andere. Der Wirksamkeitsnachweis ist mit dem WH-A4 Formular an W&amp;H zu senden.</v>
      </c>
      <c r="AE39" s="339"/>
      <c r="AF39" s="106" t="str">
        <f>VLOOKUP(43,Language!C3:AI68,Language!$B$2+1,FALSE)</f>
        <v>Wann wurde die Korrekturmaßnahme (Nicht entdecken) eingeführt?</v>
      </c>
      <c r="AG39" s="95"/>
    </row>
    <row r="40" spans="1:33" ht="5.25" customHeight="1" thickBot="1" x14ac:dyDescent="0.3">
      <c r="A40" s="180"/>
      <c r="B40" s="24"/>
      <c r="C40" s="201"/>
      <c r="D40" s="201"/>
      <c r="E40" s="201"/>
      <c r="F40" s="201"/>
      <c r="G40" s="201"/>
      <c r="H40" s="201"/>
      <c r="I40" s="201"/>
      <c r="J40" s="201"/>
      <c r="K40" s="201"/>
      <c r="L40" s="201"/>
      <c r="M40" s="201"/>
      <c r="N40" s="201"/>
      <c r="O40" s="201"/>
      <c r="P40" s="47"/>
      <c r="R40" s="273"/>
      <c r="S40" s="69"/>
      <c r="T40" s="259"/>
      <c r="U40" s="259"/>
      <c r="V40" s="259"/>
      <c r="W40" s="259"/>
      <c r="X40" s="259"/>
      <c r="Y40" s="259"/>
      <c r="Z40" s="259"/>
      <c r="AA40" s="259"/>
      <c r="AB40" s="259"/>
      <c r="AC40" s="259"/>
      <c r="AD40" s="259"/>
      <c r="AE40" s="259"/>
      <c r="AF40" s="259"/>
      <c r="AG40" s="96"/>
    </row>
    <row r="41" spans="1:33" ht="5.25" customHeight="1" x14ac:dyDescent="0.25">
      <c r="A41" s="180"/>
      <c r="B41" s="15"/>
      <c r="C41" s="111"/>
      <c r="D41" s="111"/>
      <c r="E41" s="111"/>
      <c r="F41" s="111"/>
      <c r="G41" s="111"/>
      <c r="H41" s="111"/>
      <c r="I41" s="111"/>
      <c r="J41" s="111"/>
      <c r="K41" s="111"/>
      <c r="L41" s="111"/>
      <c r="M41" s="111"/>
      <c r="N41" s="111"/>
      <c r="O41" s="111"/>
      <c r="P41" s="48"/>
      <c r="R41" s="273"/>
      <c r="S41" s="65"/>
      <c r="T41" s="97"/>
      <c r="U41" s="97"/>
      <c r="V41" s="97"/>
      <c r="W41" s="97"/>
      <c r="X41" s="97"/>
      <c r="Y41" s="97"/>
      <c r="Z41" s="97"/>
      <c r="AA41" s="97"/>
      <c r="AB41" s="97"/>
      <c r="AC41" s="97"/>
      <c r="AD41" s="97"/>
      <c r="AE41" s="97"/>
      <c r="AF41" s="97"/>
      <c r="AG41" s="98"/>
    </row>
    <row r="42" spans="1:33" ht="15" customHeight="1" x14ac:dyDescent="0.25">
      <c r="A42" s="180"/>
      <c r="B42" s="15"/>
      <c r="C42" s="178" t="str">
        <f>VLOOKUP(29,Language!C3:AI68,Language!$B$2+1,FALSE)</f>
        <v>Reklamation anerkannt</v>
      </c>
      <c r="D42" s="178"/>
      <c r="E42" s="178"/>
      <c r="F42" s="49"/>
      <c r="G42" s="49"/>
      <c r="H42" s="202"/>
      <c r="I42" s="202"/>
      <c r="J42" s="202"/>
      <c r="K42" s="202"/>
      <c r="L42" s="202"/>
      <c r="M42" s="202"/>
      <c r="N42" s="202"/>
      <c r="O42" s="202"/>
      <c r="P42" s="48"/>
      <c r="R42" s="273"/>
      <c r="S42" s="65"/>
      <c r="T42" s="222" t="str">
        <f>VLOOKUP(29,Language!C3:AI68,Language!$B$2+1,FALSE)</f>
        <v>Reklamation anerkannt</v>
      </c>
      <c r="U42" s="222"/>
      <c r="V42" s="222"/>
      <c r="W42" s="99"/>
      <c r="X42" s="99"/>
      <c r="Y42" s="260"/>
      <c r="Z42" s="260"/>
      <c r="AA42" s="260"/>
      <c r="AB42" s="260"/>
      <c r="AC42" s="260"/>
      <c r="AD42" s="260"/>
      <c r="AE42" s="260"/>
      <c r="AF42" s="260"/>
      <c r="AG42" s="98"/>
    </row>
    <row r="43" spans="1:33" ht="18.75" customHeight="1" x14ac:dyDescent="0.25">
      <c r="A43" s="180"/>
      <c r="B43" s="15"/>
      <c r="C43" s="50"/>
      <c r="D43" s="6" t="str">
        <f>VLOOKUP(81,Language!C3:AI200,Language!$B$2+1,FALSE)</f>
        <v>Ja</v>
      </c>
      <c r="E43" s="50"/>
      <c r="F43" s="49"/>
      <c r="G43" s="49"/>
      <c r="H43" s="111"/>
      <c r="I43" s="111"/>
      <c r="J43" s="111"/>
      <c r="K43" s="111"/>
      <c r="L43" s="111"/>
      <c r="M43" s="111"/>
      <c r="N43" s="111"/>
      <c r="O43" s="111"/>
      <c r="P43" s="48"/>
      <c r="R43" s="273"/>
      <c r="S43" s="65"/>
      <c r="T43" s="100"/>
      <c r="U43" s="101"/>
      <c r="V43" s="100"/>
      <c r="W43" s="249" t="str">
        <f>VLOOKUP(44,Language!C3:AI68,Language!$B$2+1,FALSE)</f>
        <v xml:space="preserve">Tragen Sie hier ein, ob Sie die Reklamation anerkennen oder ablehnen. Nutzen Sie dazu das Drop-down-Menü. </v>
      </c>
      <c r="X43" s="249"/>
      <c r="Y43" s="249"/>
      <c r="Z43" s="249"/>
      <c r="AA43" s="249"/>
      <c r="AB43" s="249"/>
      <c r="AC43" s="249"/>
      <c r="AD43" s="249"/>
      <c r="AE43" s="249"/>
      <c r="AF43" s="249"/>
      <c r="AG43" s="98"/>
    </row>
    <row r="44" spans="1:33" x14ac:dyDescent="0.25">
      <c r="A44" s="180"/>
      <c r="B44" s="15"/>
      <c r="C44" s="132" t="str">
        <f>VLOOKUP(30,Language!C3:AI68,Language!$B$2+1,FALSE)</f>
        <v>Begründung/ weitere Informationen</v>
      </c>
      <c r="D44" s="50"/>
      <c r="E44" s="50"/>
      <c r="F44" s="49"/>
      <c r="G44" s="49"/>
      <c r="H44" s="49"/>
      <c r="I44" s="49"/>
      <c r="J44" s="49"/>
      <c r="K44" s="49"/>
      <c r="L44" s="49"/>
      <c r="M44" s="49"/>
      <c r="N44" s="49"/>
      <c r="O44" s="49"/>
      <c r="P44" s="23"/>
      <c r="R44" s="273"/>
      <c r="S44" s="65"/>
      <c r="T44" s="67" t="str">
        <f>VLOOKUP(30,Language!C3:AI68,Language!$B$2+1,FALSE)</f>
        <v>Begründung/ weitere Informationen</v>
      </c>
      <c r="U44" s="100"/>
      <c r="V44" s="100"/>
      <c r="W44" s="99"/>
      <c r="X44" s="99"/>
      <c r="Y44" s="99"/>
      <c r="Z44" s="99"/>
      <c r="AA44" s="99"/>
      <c r="AB44" s="99"/>
      <c r="AC44" s="99"/>
      <c r="AD44" s="99"/>
      <c r="AE44" s="99"/>
      <c r="AF44" s="99"/>
      <c r="AG44" s="74"/>
    </row>
    <row r="45" spans="1:33" ht="28.5" customHeight="1" x14ac:dyDescent="0.25">
      <c r="A45" s="180"/>
      <c r="B45" s="15"/>
      <c r="C45" s="283"/>
      <c r="D45" s="284"/>
      <c r="E45" s="284"/>
      <c r="F45" s="284"/>
      <c r="G45" s="284"/>
      <c r="H45" s="284"/>
      <c r="I45" s="284"/>
      <c r="J45" s="284"/>
      <c r="K45" s="284"/>
      <c r="L45" s="284"/>
      <c r="M45" s="284"/>
      <c r="N45" s="284"/>
      <c r="O45" s="284"/>
      <c r="P45" s="23"/>
      <c r="R45" s="273"/>
      <c r="S45" s="65"/>
      <c r="T45" s="326" t="str">
        <f>VLOOKUP(45,Language!C3:AI68,Language!$B$2+1,FALSE)</f>
        <v>Falls nötig können hier weitere Informationen vermerkt und die Auswahl begründet werden.</v>
      </c>
      <c r="U45" s="327"/>
      <c r="V45" s="327"/>
      <c r="W45" s="327"/>
      <c r="X45" s="327"/>
      <c r="Y45" s="327"/>
      <c r="Z45" s="327"/>
      <c r="AA45" s="327"/>
      <c r="AB45" s="327"/>
      <c r="AC45" s="327"/>
      <c r="AD45" s="327"/>
      <c r="AE45" s="327"/>
      <c r="AF45" s="277"/>
      <c r="AG45" s="74"/>
    </row>
    <row r="46" spans="1:33" ht="4.5" customHeight="1" thickBot="1" x14ac:dyDescent="0.3">
      <c r="A46" s="51"/>
      <c r="B46" s="52"/>
      <c r="C46" s="52"/>
      <c r="D46" s="52"/>
      <c r="E46" s="52"/>
      <c r="F46" s="52"/>
      <c r="G46" s="52"/>
      <c r="H46" s="52"/>
      <c r="I46" s="52"/>
      <c r="J46" s="52"/>
      <c r="K46" s="52"/>
      <c r="L46" s="52"/>
      <c r="M46" s="52"/>
      <c r="N46" s="52"/>
      <c r="O46" s="52"/>
      <c r="P46" s="53"/>
      <c r="R46" s="102"/>
      <c r="S46" s="103"/>
      <c r="T46" s="103"/>
      <c r="U46" s="103"/>
      <c r="V46" s="103"/>
      <c r="W46" s="103"/>
      <c r="X46" s="103"/>
      <c r="Y46" s="103"/>
      <c r="Z46" s="103"/>
      <c r="AA46" s="103"/>
      <c r="AB46" s="103"/>
      <c r="AC46" s="103"/>
      <c r="AD46" s="103"/>
      <c r="AE46" s="103"/>
      <c r="AF46" s="103"/>
      <c r="AG46" s="104"/>
    </row>
    <row r="53" spans="13:13" ht="15.75" customHeight="1" x14ac:dyDescent="0.25"/>
    <row r="54" spans="13:13" x14ac:dyDescent="0.25">
      <c r="M54"/>
    </row>
  </sheetData>
  <mergeCells count="84">
    <mergeCell ref="A2:L3"/>
    <mergeCell ref="M2:N2"/>
    <mergeCell ref="AE2:AF3"/>
    <mergeCell ref="R2:AD3"/>
    <mergeCell ref="C45:O45"/>
    <mergeCell ref="T45:AF45"/>
    <mergeCell ref="D39:L39"/>
    <mergeCell ref="M39:N39"/>
    <mergeCell ref="U39:AC39"/>
    <mergeCell ref="AD39:AE39"/>
    <mergeCell ref="C40:O40"/>
    <mergeCell ref="T40:AF40"/>
    <mergeCell ref="C42:E42"/>
    <mergeCell ref="H42:O42"/>
    <mergeCell ref="T42:V42"/>
    <mergeCell ref="Y42:AF42"/>
    <mergeCell ref="W43:AF43"/>
    <mergeCell ref="D37:L37"/>
    <mergeCell ref="M37:N37"/>
    <mergeCell ref="U37:AC37"/>
    <mergeCell ref="AD37:AE37"/>
    <mergeCell ref="D38:L38"/>
    <mergeCell ref="M38:N38"/>
    <mergeCell ref="U38:AC38"/>
    <mergeCell ref="AD38:AE38"/>
    <mergeCell ref="D34:O34"/>
    <mergeCell ref="U34:AF34"/>
    <mergeCell ref="D35:O35"/>
    <mergeCell ref="U35:AF35"/>
    <mergeCell ref="D36:O36"/>
    <mergeCell ref="U36:AF36"/>
    <mergeCell ref="C22:O22"/>
    <mergeCell ref="C25:L25"/>
    <mergeCell ref="T25:AC25"/>
    <mergeCell ref="C26:N26"/>
    <mergeCell ref="T26:AE31"/>
    <mergeCell ref="T22:AF22"/>
    <mergeCell ref="AF26:AF31"/>
    <mergeCell ref="C27:N27"/>
    <mergeCell ref="C28:N28"/>
    <mergeCell ref="C29:N29"/>
    <mergeCell ref="C30:N30"/>
    <mergeCell ref="C31:N31"/>
    <mergeCell ref="S7:AB20"/>
    <mergeCell ref="C8:F8"/>
    <mergeCell ref="H8:J8"/>
    <mergeCell ref="C9:F9"/>
    <mergeCell ref="H9:J9"/>
    <mergeCell ref="C10:F10"/>
    <mergeCell ref="H10:J10"/>
    <mergeCell ref="C11:F11"/>
    <mergeCell ref="N8:O20"/>
    <mergeCell ref="L7:M7"/>
    <mergeCell ref="N7:O7"/>
    <mergeCell ref="H13:J13"/>
    <mergeCell ref="C14:F14"/>
    <mergeCell ref="H14:J14"/>
    <mergeCell ref="C17:F17"/>
    <mergeCell ref="H17:J17"/>
    <mergeCell ref="L8:M20"/>
    <mergeCell ref="C18:F18"/>
    <mergeCell ref="H18:J18"/>
    <mergeCell ref="H11:J11"/>
    <mergeCell ref="C12:F12"/>
    <mergeCell ref="H12:J12"/>
    <mergeCell ref="C13:F13"/>
    <mergeCell ref="C19:F19"/>
    <mergeCell ref="H19:J19"/>
    <mergeCell ref="AE8:AF20"/>
    <mergeCell ref="AC8:AD20"/>
    <mergeCell ref="AC7:AD7"/>
    <mergeCell ref="AE7:AF7"/>
    <mergeCell ref="A4:J5"/>
    <mergeCell ref="L4:O4"/>
    <mergeCell ref="R4:AA5"/>
    <mergeCell ref="AC4:AF4"/>
    <mergeCell ref="L5:O5"/>
    <mergeCell ref="AC5:AF5"/>
    <mergeCell ref="A6:A45"/>
    <mergeCell ref="R6:R45"/>
    <mergeCell ref="C7:F7"/>
    <mergeCell ref="H7:J7"/>
    <mergeCell ref="C20:F20"/>
    <mergeCell ref="H20:J20"/>
  </mergeCells>
  <conditionalFormatting sqref="D38">
    <cfRule type="cellIs" dxfId="10" priority="13" operator="equal">
      <formula>"Welche Maßnahmen wurde eingeführt, um ein erneutes Auftreten zu verhindern?"</formula>
    </cfRule>
    <cfRule type="cellIs" dxfId="9" priority="15" operator="equal">
      <formula>"Welche Maßnahme wurde eingeführt, um ein erneutes Auftreten zu verhindern?"</formula>
    </cfRule>
  </conditionalFormatting>
  <conditionalFormatting sqref="F42:G44">
    <cfRule type="cellIs" dxfId="8" priority="14" operator="equal">
      <formula>"(Falls nötig können hier weitere Informationen vermerkt werden)"</formula>
    </cfRule>
  </conditionalFormatting>
  <conditionalFormatting sqref="F44:P44 P45 F42:G43">
    <cfRule type="cellIs" dxfId="7" priority="12" operator="equal">
      <formula>"(Falls nötig können hier weitere Informationen vermerkt werden)"</formula>
    </cfRule>
  </conditionalFormatting>
  <conditionalFormatting sqref="D39">
    <cfRule type="cellIs" dxfId="6" priority="11" operator="equal">
      <formula>"Welche Maßnahmen wurde eingeführt, damit das Problem immer entdeckt wird?"</formula>
    </cfRule>
  </conditionalFormatting>
  <conditionalFormatting sqref="AG44:AG45">
    <cfRule type="cellIs" dxfId="5" priority="7" operator="equal">
      <formula>"(Falls nötig können hier weitere Informationen vermerkt werden)"</formula>
    </cfRule>
  </conditionalFormatting>
  <conditionalFormatting sqref="U38">
    <cfRule type="cellIs" dxfId="4" priority="3" operator="equal">
      <formula>"Welche Maßnahmen wurde eingeführt, um ein erneutes Auftreten zu verhindern?"</formula>
    </cfRule>
    <cfRule type="cellIs" dxfId="3" priority="5" operator="equal">
      <formula>"Welche Maßnahme wurde eingeführt, um ein erneutes Auftreten zu verhindern?"</formula>
    </cfRule>
  </conditionalFormatting>
  <conditionalFormatting sqref="W42:X42 W44:X44 W43">
    <cfRule type="cellIs" dxfId="2" priority="4" operator="equal">
      <formula>"(Falls nötig können hier weitere Informationen vermerkt werden)"</formula>
    </cfRule>
  </conditionalFormatting>
  <conditionalFormatting sqref="W44:AF44 W42:X42 W43">
    <cfRule type="cellIs" dxfId="1" priority="2" operator="equal">
      <formula>"(Falls nötig können hier weitere Informationen vermerkt werden)"</formula>
    </cfRule>
  </conditionalFormatting>
  <conditionalFormatting sqref="U39">
    <cfRule type="cellIs" dxfId="0" priority="1" operator="equal">
      <formula>"Welche Maßnahmen wurde eingeführt, damit das Problem immer entdeckt wird?"</formula>
    </cfRule>
  </conditionalFormatting>
  <dataValidations count="1">
    <dataValidation type="list" allowBlank="1" showInputMessage="1" showErrorMessage="1" sqref="D43 U43" xr:uid="{0A3E36B6-CF44-4D9F-885E-7D1A84945F3B}">
      <formula1>"Ja,Nein"</formula1>
    </dataValidation>
  </dataValidations>
  <hyperlinks>
    <hyperlink ref="C20" r:id="rId1" display="qualitaet@ls.de" xr:uid="{7BBF683A-5313-4CB6-AB6C-6D4ED657D4D6}"/>
  </hyperlinks>
  <pageMargins left="0.70866141732283472" right="0.70866141732283472" top="0.78740157480314965" bottom="0.78740157480314965" header="0.31496062992125984" footer="0.51181102362204722"/>
  <pageSetup paperSize="9" scale="58" fitToWidth="2" orientation="portrait" r:id="rId2"/>
  <headerFooter>
    <oddFooter>&amp;LErstellt: Pliet
Geprüft: Große Kintrup&amp;CFreigegeben: Große Kintrup&amp;RFOR-22-001-V02
gültig ab 01.04.2023</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4097" r:id="rId5" name="Drop Down 1">
              <controlPr defaultSize="0" autoLine="0" autoPict="0">
                <anchor moveWithCells="1">
                  <from>
                    <xdr:col>14</xdr:col>
                    <xdr:colOff>28575</xdr:colOff>
                    <xdr:row>1</xdr:row>
                    <xdr:rowOff>0</xdr:rowOff>
                  </from>
                  <to>
                    <xdr:col>14</xdr:col>
                    <xdr:colOff>895350</xdr:colOff>
                    <xdr:row>1</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C92CC-9C04-49E1-B0A9-613F0EED21DA}">
  <sheetPr codeName="Tabelle5">
    <tabColor rgb="FF0070C0"/>
  </sheetPr>
  <dimension ref="A1:F276"/>
  <sheetViews>
    <sheetView zoomScale="145" zoomScaleNormal="145" workbookViewId="0">
      <selection activeCell="A10" sqref="A10"/>
    </sheetView>
  </sheetViews>
  <sheetFormatPr baseColWidth="10" defaultRowHeight="15" x14ac:dyDescent="0.25"/>
  <cols>
    <col min="1" max="1" width="11" customWidth="1"/>
    <col min="4" max="4" width="116" customWidth="1"/>
    <col min="5" max="5" width="86.42578125" customWidth="1"/>
    <col min="6" max="6" width="87" customWidth="1"/>
  </cols>
  <sheetData>
    <row r="1" spans="1:6" ht="41.45" customHeight="1" x14ac:dyDescent="0.25"/>
    <row r="2" spans="1:6" ht="25.5" customHeight="1" x14ac:dyDescent="0.25">
      <c r="A2" s="118" t="s">
        <v>74</v>
      </c>
      <c r="B2" s="118">
        <v>1</v>
      </c>
      <c r="C2" s="119" t="s">
        <v>75</v>
      </c>
      <c r="D2" s="120" t="s">
        <v>76</v>
      </c>
      <c r="E2" s="120" t="s">
        <v>77</v>
      </c>
      <c r="F2" s="120" t="s">
        <v>78</v>
      </c>
    </row>
    <row r="3" spans="1:6" ht="67.5" customHeight="1" x14ac:dyDescent="0.25">
      <c r="A3" s="121" t="str">
        <f>IF(D2="","",D2)</f>
        <v>Deutsch</v>
      </c>
      <c r="B3" s="121"/>
      <c r="C3" s="122">
        <v>1</v>
      </c>
      <c r="D3" s="123" t="s">
        <v>285</v>
      </c>
      <c r="E3" s="124" t="s">
        <v>239</v>
      </c>
      <c r="F3" s="123" t="s">
        <v>240</v>
      </c>
    </row>
    <row r="4" spans="1:6" x14ac:dyDescent="0.25">
      <c r="A4" s="121" t="str">
        <f>IF(E2="","",E2)</f>
        <v>Englisch</v>
      </c>
      <c r="B4" s="121"/>
      <c r="C4" s="122">
        <v>2</v>
      </c>
      <c r="D4" s="124" t="s">
        <v>234</v>
      </c>
      <c r="E4" s="124" t="s">
        <v>235</v>
      </c>
      <c r="F4" s="124" t="s">
        <v>236</v>
      </c>
    </row>
    <row r="5" spans="1:6" x14ac:dyDescent="0.25">
      <c r="A5" s="121" t="s">
        <v>78</v>
      </c>
      <c r="B5" s="121"/>
      <c r="C5" s="122">
        <v>3</v>
      </c>
      <c r="D5" s="124" t="s">
        <v>73</v>
      </c>
      <c r="E5" s="124" t="s">
        <v>80</v>
      </c>
      <c r="F5" s="124" t="s">
        <v>162</v>
      </c>
    </row>
    <row r="6" spans="1:6" ht="19.899999999999999" customHeight="1" x14ac:dyDescent="0.25">
      <c r="A6" s="121" t="str">
        <f>IF(G2="","",G2)</f>
        <v/>
      </c>
      <c r="B6" s="121"/>
      <c r="C6" s="122">
        <v>4</v>
      </c>
      <c r="D6" s="124" t="s">
        <v>15</v>
      </c>
      <c r="E6" s="124" t="s">
        <v>81</v>
      </c>
      <c r="F6" s="124" t="s">
        <v>163</v>
      </c>
    </row>
    <row r="7" spans="1:6" x14ac:dyDescent="0.25">
      <c r="A7" s="121" t="str">
        <f>IF(H2="","",H2)</f>
        <v/>
      </c>
      <c r="B7" s="121"/>
      <c r="C7" s="122">
        <v>5</v>
      </c>
      <c r="D7" s="124" t="s">
        <v>14</v>
      </c>
      <c r="E7" s="124" t="s">
        <v>82</v>
      </c>
      <c r="F7" s="124" t="s">
        <v>14</v>
      </c>
    </row>
    <row r="8" spans="1:6" x14ac:dyDescent="0.25">
      <c r="A8" s="121" t="str">
        <f>VLOOKUP(100,Language!C3:AI103,Language!$B$2+1,FALSE)</f>
        <v>Ja</v>
      </c>
      <c r="B8" s="121"/>
      <c r="C8" s="122">
        <v>6</v>
      </c>
      <c r="D8" s="124" t="s">
        <v>30</v>
      </c>
      <c r="E8" s="124" t="s">
        <v>83</v>
      </c>
      <c r="F8" s="124" t="s">
        <v>164</v>
      </c>
    </row>
    <row r="9" spans="1:6" x14ac:dyDescent="0.25">
      <c r="A9" s="121" t="str">
        <f>VLOOKUP(101,Language!C3:AI103,Language!$B$2+1,FALSE)</f>
        <v>Nein</v>
      </c>
      <c r="B9" s="121"/>
      <c r="C9" s="122">
        <v>7</v>
      </c>
      <c r="D9" s="124" t="s">
        <v>242</v>
      </c>
      <c r="E9" s="124" t="s">
        <v>241</v>
      </c>
      <c r="F9" s="124" t="s">
        <v>243</v>
      </c>
    </row>
    <row r="10" spans="1:6" x14ac:dyDescent="0.25">
      <c r="A10" s="121" t="str">
        <f>IF(K2="","",K2)</f>
        <v/>
      </c>
      <c r="B10" s="121"/>
      <c r="C10" s="122">
        <v>8</v>
      </c>
      <c r="D10" s="124" t="s">
        <v>8</v>
      </c>
      <c r="E10" s="124" t="s">
        <v>84</v>
      </c>
      <c r="F10" s="124" t="s">
        <v>165</v>
      </c>
    </row>
    <row r="11" spans="1:6" x14ac:dyDescent="0.25">
      <c r="A11" s="121" t="str">
        <f>IF(L2="","",L2)</f>
        <v/>
      </c>
      <c r="B11" s="121"/>
      <c r="C11" s="122">
        <v>9</v>
      </c>
      <c r="D11" s="124" t="s">
        <v>16</v>
      </c>
      <c r="E11" s="124" t="s">
        <v>85</v>
      </c>
      <c r="F11" s="124" t="s">
        <v>166</v>
      </c>
    </row>
    <row r="12" spans="1:6" x14ac:dyDescent="0.25">
      <c r="A12" s="121" t="str">
        <f>IF(M2="","",M2)</f>
        <v/>
      </c>
      <c r="B12" s="121"/>
      <c r="C12" s="122">
        <v>10</v>
      </c>
      <c r="D12" s="124" t="s">
        <v>9</v>
      </c>
      <c r="E12" s="124" t="s">
        <v>86</v>
      </c>
      <c r="F12" s="124" t="s">
        <v>167</v>
      </c>
    </row>
    <row r="13" spans="1:6" x14ac:dyDescent="0.25">
      <c r="A13" s="121" t="str">
        <f>IF(N2="","",N2)</f>
        <v/>
      </c>
      <c r="B13" s="121"/>
      <c r="C13" s="122">
        <v>11</v>
      </c>
      <c r="D13" s="124" t="s">
        <v>1</v>
      </c>
      <c r="E13" s="124" t="s">
        <v>87</v>
      </c>
      <c r="F13" s="124" t="s">
        <v>168</v>
      </c>
    </row>
    <row r="14" spans="1:6" x14ac:dyDescent="0.25">
      <c r="A14" s="121" t="str">
        <f>IF(O2="","",O2)</f>
        <v/>
      </c>
      <c r="B14" s="121"/>
      <c r="C14" s="122">
        <v>12</v>
      </c>
      <c r="D14" s="124" t="s">
        <v>0</v>
      </c>
      <c r="E14" s="124" t="s">
        <v>88</v>
      </c>
      <c r="F14" s="124" t="s">
        <v>169</v>
      </c>
    </row>
    <row r="15" spans="1:6" x14ac:dyDescent="0.25">
      <c r="A15" s="121" t="str">
        <f>IF(P2="","",P2)</f>
        <v/>
      </c>
      <c r="B15" s="121"/>
      <c r="C15" s="122">
        <v>13</v>
      </c>
      <c r="D15" s="124" t="s">
        <v>10</v>
      </c>
      <c r="E15" s="124" t="s">
        <v>89</v>
      </c>
      <c r="F15" s="124" t="s">
        <v>170</v>
      </c>
    </row>
    <row r="16" spans="1:6" x14ac:dyDescent="0.25">
      <c r="A16" s="121" t="str">
        <f>IF(Q2="","",Q2)</f>
        <v/>
      </c>
      <c r="B16" s="121"/>
      <c r="C16" s="122">
        <v>14</v>
      </c>
      <c r="D16" s="124" t="s">
        <v>11</v>
      </c>
      <c r="E16" s="124" t="s">
        <v>90</v>
      </c>
      <c r="F16" s="124" t="s">
        <v>171</v>
      </c>
    </row>
    <row r="17" spans="1:6" x14ac:dyDescent="0.25">
      <c r="A17" s="121" t="str">
        <f>IF(R2="","",R2)</f>
        <v/>
      </c>
      <c r="B17" s="121"/>
      <c r="C17" s="122">
        <v>15</v>
      </c>
      <c r="D17" s="124" t="s">
        <v>13</v>
      </c>
      <c r="E17" s="124" t="s">
        <v>91</v>
      </c>
      <c r="F17" s="124" t="s">
        <v>79</v>
      </c>
    </row>
    <row r="18" spans="1:6" x14ac:dyDescent="0.25">
      <c r="A18" s="121" t="str">
        <f>IF(S2="","",S2)</f>
        <v/>
      </c>
      <c r="B18" s="121"/>
      <c r="C18" s="122">
        <v>16</v>
      </c>
      <c r="D18" s="123" t="s">
        <v>12</v>
      </c>
      <c r="E18" s="123" t="s">
        <v>92</v>
      </c>
      <c r="F18" s="123" t="s">
        <v>12</v>
      </c>
    </row>
    <row r="19" spans="1:6" x14ac:dyDescent="0.25">
      <c r="A19" s="121" t="str">
        <f>IF(T2="","",T2)</f>
        <v/>
      </c>
      <c r="B19" s="121"/>
      <c r="C19" s="122">
        <v>17</v>
      </c>
      <c r="D19" s="123" t="s">
        <v>238</v>
      </c>
      <c r="E19" s="123" t="s">
        <v>93</v>
      </c>
      <c r="F19" s="123" t="s">
        <v>172</v>
      </c>
    </row>
    <row r="20" spans="1:6" x14ac:dyDescent="0.25">
      <c r="A20" s="121" t="str">
        <f>IF(U2="","",U2)</f>
        <v/>
      </c>
      <c r="B20" s="121"/>
      <c r="C20" s="122">
        <v>18</v>
      </c>
      <c r="D20" s="124" t="s">
        <v>66</v>
      </c>
      <c r="E20" s="123" t="s">
        <v>94</v>
      </c>
      <c r="F20" s="124" t="s">
        <v>173</v>
      </c>
    </row>
    <row r="21" spans="1:6" x14ac:dyDescent="0.25">
      <c r="A21" s="121" t="str">
        <f>IF(V2="","",V2)</f>
        <v/>
      </c>
      <c r="B21" s="121"/>
      <c r="C21" s="122">
        <v>19</v>
      </c>
      <c r="D21" s="123" t="s">
        <v>67</v>
      </c>
      <c r="E21" s="124" t="s">
        <v>95</v>
      </c>
      <c r="F21" s="123" t="s">
        <v>174</v>
      </c>
    </row>
    <row r="22" spans="1:6" x14ac:dyDescent="0.25">
      <c r="A22" s="121" t="str">
        <f>IF(W2="","",W2)</f>
        <v/>
      </c>
      <c r="B22" s="121"/>
      <c r="C22" s="122">
        <v>20</v>
      </c>
      <c r="D22" s="124" t="s">
        <v>68</v>
      </c>
      <c r="E22" s="124" t="s">
        <v>96</v>
      </c>
      <c r="F22" s="124" t="s">
        <v>175</v>
      </c>
    </row>
    <row r="23" spans="1:6" x14ac:dyDescent="0.25">
      <c r="A23" s="121" t="str">
        <f>IF(X2="","",X2)</f>
        <v/>
      </c>
      <c r="B23" s="121"/>
      <c r="C23" s="122">
        <v>21</v>
      </c>
      <c r="D23" s="123" t="s">
        <v>69</v>
      </c>
      <c r="E23" s="123" t="s">
        <v>97</v>
      </c>
      <c r="F23" s="123" t="s">
        <v>176</v>
      </c>
    </row>
    <row r="24" spans="1:6" x14ac:dyDescent="0.25">
      <c r="A24" s="121" t="str">
        <f>IF(Y2="","",Y2)</f>
        <v/>
      </c>
      <c r="B24" s="121"/>
      <c r="C24" s="122">
        <v>22</v>
      </c>
      <c r="D24" s="123" t="s">
        <v>70</v>
      </c>
      <c r="E24" s="123" t="s">
        <v>98</v>
      </c>
      <c r="F24" s="123" t="s">
        <v>177</v>
      </c>
    </row>
    <row r="25" spans="1:6" x14ac:dyDescent="0.25">
      <c r="A25" s="121" t="str">
        <f>IF(Z2="","",Z2)</f>
        <v/>
      </c>
      <c r="B25" s="121"/>
      <c r="C25" s="122">
        <v>23</v>
      </c>
      <c r="D25" s="124" t="s">
        <v>6</v>
      </c>
      <c r="E25" s="124" t="s">
        <v>99</v>
      </c>
      <c r="F25" s="124" t="s">
        <v>178</v>
      </c>
    </row>
    <row r="26" spans="1:6" x14ac:dyDescent="0.25">
      <c r="A26" s="122"/>
      <c r="B26" s="122"/>
      <c r="C26" s="122">
        <v>24</v>
      </c>
      <c r="D26" s="123" t="s">
        <v>71</v>
      </c>
      <c r="E26" s="123" t="s">
        <v>100</v>
      </c>
      <c r="F26" s="123" t="s">
        <v>179</v>
      </c>
    </row>
    <row r="27" spans="1:6" x14ac:dyDescent="0.25">
      <c r="A27" s="122"/>
      <c r="B27" s="122"/>
      <c r="C27" s="122">
        <v>25</v>
      </c>
      <c r="D27" s="123" t="s">
        <v>286</v>
      </c>
      <c r="E27" s="123" t="s">
        <v>287</v>
      </c>
      <c r="F27" s="123" t="s">
        <v>180</v>
      </c>
    </row>
    <row r="28" spans="1:6" x14ac:dyDescent="0.25">
      <c r="A28" s="122"/>
      <c r="B28" s="122"/>
      <c r="C28" s="122">
        <v>26</v>
      </c>
      <c r="D28" s="124" t="s">
        <v>67</v>
      </c>
      <c r="E28" s="124" t="s">
        <v>95</v>
      </c>
      <c r="F28" s="124" t="s">
        <v>174</v>
      </c>
    </row>
    <row r="29" spans="1:6" x14ac:dyDescent="0.25">
      <c r="A29" s="122"/>
      <c r="B29" s="122"/>
      <c r="C29" s="122">
        <v>27</v>
      </c>
      <c r="D29" s="123" t="s">
        <v>69</v>
      </c>
      <c r="E29" s="123" t="s">
        <v>97</v>
      </c>
      <c r="F29" s="123" t="s">
        <v>176</v>
      </c>
    </row>
    <row r="30" spans="1:6" x14ac:dyDescent="0.25">
      <c r="A30" s="122"/>
      <c r="B30" s="122"/>
      <c r="C30" s="122">
        <v>28</v>
      </c>
      <c r="D30" s="123" t="s">
        <v>70</v>
      </c>
      <c r="E30" s="123" t="s">
        <v>98</v>
      </c>
      <c r="F30" s="123" t="s">
        <v>177</v>
      </c>
    </row>
    <row r="31" spans="1:6" x14ac:dyDescent="0.25">
      <c r="A31" s="122"/>
      <c r="B31" s="122"/>
      <c r="C31" s="122">
        <v>29</v>
      </c>
      <c r="D31" s="124" t="s">
        <v>72</v>
      </c>
      <c r="E31" s="124" t="s">
        <v>101</v>
      </c>
      <c r="F31" s="124" t="s">
        <v>181</v>
      </c>
    </row>
    <row r="32" spans="1:6" x14ac:dyDescent="0.25">
      <c r="A32" s="122"/>
      <c r="B32" s="122"/>
      <c r="C32" s="122">
        <v>30</v>
      </c>
      <c r="D32" s="124" t="s">
        <v>297</v>
      </c>
      <c r="E32" s="124" t="s">
        <v>298</v>
      </c>
      <c r="F32" s="124" t="s">
        <v>182</v>
      </c>
    </row>
    <row r="33" spans="1:6" x14ac:dyDescent="0.25">
      <c r="A33" s="122"/>
      <c r="B33" s="122"/>
      <c r="C33" s="122">
        <v>31</v>
      </c>
      <c r="D33" s="123" t="s">
        <v>18</v>
      </c>
      <c r="E33" s="123" t="s">
        <v>102</v>
      </c>
      <c r="F33" s="123" t="s">
        <v>183</v>
      </c>
    </row>
    <row r="34" spans="1:6" ht="102.75" x14ac:dyDescent="0.25">
      <c r="A34" s="122"/>
      <c r="B34" s="122"/>
      <c r="C34" s="122">
        <v>32</v>
      </c>
      <c r="D34" s="123" t="s">
        <v>58</v>
      </c>
      <c r="E34" s="123" t="s">
        <v>103</v>
      </c>
      <c r="F34" s="123" t="s">
        <v>184</v>
      </c>
    </row>
    <row r="35" spans="1:6" x14ac:dyDescent="0.25">
      <c r="A35" s="122"/>
      <c r="B35" s="122"/>
      <c r="C35" s="122">
        <v>33</v>
      </c>
      <c r="D35" s="124" t="s">
        <v>238</v>
      </c>
      <c r="E35" s="124" t="s">
        <v>93</v>
      </c>
      <c r="F35" s="124" t="s">
        <v>172</v>
      </c>
    </row>
    <row r="36" spans="1:6" ht="114.75" x14ac:dyDescent="0.25">
      <c r="A36" s="122"/>
      <c r="B36" s="122"/>
      <c r="C36" s="122">
        <v>34</v>
      </c>
      <c r="D36" s="124" t="s">
        <v>5</v>
      </c>
      <c r="E36" s="124" t="s">
        <v>104</v>
      </c>
      <c r="F36" s="124" t="s">
        <v>185</v>
      </c>
    </row>
    <row r="37" spans="1:6" ht="26.25" x14ac:dyDescent="0.25">
      <c r="A37" s="122"/>
      <c r="B37" s="122"/>
      <c r="C37" s="122">
        <v>35</v>
      </c>
      <c r="D37" s="123" t="s">
        <v>7</v>
      </c>
      <c r="E37" s="123" t="s">
        <v>105</v>
      </c>
      <c r="F37" s="123" t="s">
        <v>186</v>
      </c>
    </row>
    <row r="38" spans="1:6" ht="39" x14ac:dyDescent="0.25">
      <c r="A38" s="122"/>
      <c r="B38" s="122"/>
      <c r="C38" s="122">
        <v>36</v>
      </c>
      <c r="D38" s="123" t="s">
        <v>293</v>
      </c>
      <c r="E38" s="123" t="s">
        <v>294</v>
      </c>
      <c r="F38" s="123" t="s">
        <v>187</v>
      </c>
    </row>
    <row r="39" spans="1:6" ht="39" x14ac:dyDescent="0.25">
      <c r="A39" s="122"/>
      <c r="B39" s="122"/>
      <c r="C39" s="122">
        <v>37</v>
      </c>
      <c r="D39" s="123" t="s">
        <v>295</v>
      </c>
      <c r="E39" s="123" t="s">
        <v>296</v>
      </c>
      <c r="F39" s="123" t="s">
        <v>188</v>
      </c>
    </row>
    <row r="40" spans="1:6" ht="51" x14ac:dyDescent="0.25">
      <c r="A40" s="122"/>
      <c r="B40" s="122"/>
      <c r="C40" s="122">
        <v>38</v>
      </c>
      <c r="D40" s="124" t="s">
        <v>59</v>
      </c>
      <c r="E40" s="124" t="s">
        <v>106</v>
      </c>
      <c r="F40" s="124" t="s">
        <v>189</v>
      </c>
    </row>
    <row r="41" spans="1:6" ht="51" x14ac:dyDescent="0.25">
      <c r="A41" s="122"/>
      <c r="B41" s="122"/>
      <c r="C41" s="122">
        <v>39</v>
      </c>
      <c r="D41" s="124" t="s">
        <v>19</v>
      </c>
      <c r="E41" s="124" t="s">
        <v>107</v>
      </c>
      <c r="F41" s="124" t="s">
        <v>190</v>
      </c>
    </row>
    <row r="42" spans="1:6" x14ac:dyDescent="0.25">
      <c r="A42" s="122"/>
      <c r="B42" s="122"/>
      <c r="C42" s="122">
        <v>40</v>
      </c>
      <c r="D42" s="124" t="s">
        <v>2</v>
      </c>
      <c r="E42" s="124" t="s">
        <v>108</v>
      </c>
      <c r="F42" s="124" t="s">
        <v>191</v>
      </c>
    </row>
    <row r="43" spans="1:6" ht="51" x14ac:dyDescent="0.25">
      <c r="A43" s="122"/>
      <c r="B43" s="122"/>
      <c r="C43" s="122">
        <v>41</v>
      </c>
      <c r="D43" s="124" t="s">
        <v>60</v>
      </c>
      <c r="E43" s="124" t="s">
        <v>109</v>
      </c>
      <c r="F43" s="124" t="s">
        <v>192</v>
      </c>
    </row>
    <row r="44" spans="1:6" ht="38.25" x14ac:dyDescent="0.25">
      <c r="A44" s="122"/>
      <c r="B44" s="122"/>
      <c r="C44" s="122">
        <v>42</v>
      </c>
      <c r="D44" s="124" t="s">
        <v>20</v>
      </c>
      <c r="E44" s="124" t="s">
        <v>110</v>
      </c>
      <c r="F44" s="124" t="s">
        <v>193</v>
      </c>
    </row>
    <row r="45" spans="1:6" x14ac:dyDescent="0.25">
      <c r="A45" s="122"/>
      <c r="B45" s="122"/>
      <c r="C45" s="122">
        <v>43</v>
      </c>
      <c r="D45" s="123" t="s">
        <v>3</v>
      </c>
      <c r="E45" s="123" t="s">
        <v>111</v>
      </c>
      <c r="F45" s="123" t="s">
        <v>194</v>
      </c>
    </row>
    <row r="46" spans="1:6" x14ac:dyDescent="0.25">
      <c r="A46" s="122"/>
      <c r="B46" s="122"/>
      <c r="C46" s="122">
        <v>44</v>
      </c>
      <c r="D46" s="123" t="s">
        <v>61</v>
      </c>
      <c r="E46" s="123" t="s">
        <v>112</v>
      </c>
      <c r="F46" s="123" t="s">
        <v>195</v>
      </c>
    </row>
    <row r="47" spans="1:6" x14ac:dyDescent="0.25">
      <c r="A47" s="122"/>
      <c r="B47" s="122"/>
      <c r="C47" s="122">
        <v>45</v>
      </c>
      <c r="D47" s="123" t="s">
        <v>291</v>
      </c>
      <c r="E47" s="123" t="s">
        <v>292</v>
      </c>
      <c r="F47" s="123" t="s">
        <v>196</v>
      </c>
    </row>
    <row r="48" spans="1:6" x14ac:dyDescent="0.25">
      <c r="A48" s="122"/>
      <c r="B48" s="122"/>
      <c r="C48" s="122">
        <v>46</v>
      </c>
      <c r="D48" s="127" t="s">
        <v>63</v>
      </c>
      <c r="E48" s="127" t="s">
        <v>63</v>
      </c>
      <c r="F48" s="127" t="s">
        <v>63</v>
      </c>
    </row>
    <row r="49" spans="1:6" x14ac:dyDescent="0.25">
      <c r="A49" s="122"/>
      <c r="B49" s="122"/>
      <c r="C49" s="122">
        <v>47</v>
      </c>
      <c r="D49" s="128">
        <v>40863</v>
      </c>
      <c r="E49" s="128" t="s">
        <v>113</v>
      </c>
      <c r="F49" s="128">
        <v>40863</v>
      </c>
    </row>
    <row r="50" spans="1:6" x14ac:dyDescent="0.25">
      <c r="A50" s="122"/>
      <c r="B50" s="122"/>
      <c r="C50" s="122">
        <v>48</v>
      </c>
      <c r="D50" s="129" t="s">
        <v>17</v>
      </c>
      <c r="E50" s="129" t="s">
        <v>114</v>
      </c>
      <c r="F50" s="129" t="s">
        <v>197</v>
      </c>
    </row>
    <row r="51" spans="1:6" x14ac:dyDescent="0.25">
      <c r="A51" s="122"/>
      <c r="B51" s="122"/>
      <c r="C51" s="122">
        <v>49</v>
      </c>
      <c r="D51" s="129" t="s">
        <v>51</v>
      </c>
      <c r="E51" s="129" t="s">
        <v>115</v>
      </c>
      <c r="F51" s="129" t="s">
        <v>51</v>
      </c>
    </row>
    <row r="52" spans="1:6" x14ac:dyDescent="0.25">
      <c r="A52" s="122"/>
      <c r="B52" s="122"/>
      <c r="C52" s="122">
        <v>50</v>
      </c>
      <c r="D52" s="129" t="s">
        <v>22</v>
      </c>
      <c r="E52" s="129" t="s">
        <v>116</v>
      </c>
      <c r="F52" s="129" t="s">
        <v>198</v>
      </c>
    </row>
    <row r="53" spans="1:6" x14ac:dyDescent="0.25">
      <c r="A53" s="122"/>
      <c r="B53" s="122"/>
      <c r="C53" s="122">
        <v>51</v>
      </c>
      <c r="D53" s="128" t="s">
        <v>65</v>
      </c>
      <c r="E53" s="128" t="s">
        <v>117</v>
      </c>
      <c r="F53" s="128" t="s">
        <v>199</v>
      </c>
    </row>
    <row r="54" spans="1:6" ht="25.5" x14ac:dyDescent="0.25">
      <c r="A54" s="122"/>
      <c r="B54" s="122"/>
      <c r="C54" s="122">
        <v>52</v>
      </c>
      <c r="D54" s="128" t="s">
        <v>26</v>
      </c>
      <c r="E54" s="128" t="s">
        <v>118</v>
      </c>
      <c r="F54" s="128" t="s">
        <v>200</v>
      </c>
    </row>
    <row r="55" spans="1:6" ht="25.5" x14ac:dyDescent="0.25">
      <c r="A55" s="122"/>
      <c r="B55" s="122"/>
      <c r="C55" s="122">
        <v>53</v>
      </c>
      <c r="D55" s="128" t="s">
        <v>27</v>
      </c>
      <c r="E55" s="128" t="s">
        <v>119</v>
      </c>
      <c r="F55" s="128" t="s">
        <v>201</v>
      </c>
    </row>
    <row r="56" spans="1:6" ht="25.5" x14ac:dyDescent="0.25">
      <c r="A56" s="122"/>
      <c r="B56" s="122"/>
      <c r="C56" s="122">
        <v>54</v>
      </c>
      <c r="D56" s="128" t="s">
        <v>49</v>
      </c>
      <c r="E56" s="128" t="s">
        <v>120</v>
      </c>
      <c r="F56" s="128" t="s">
        <v>202</v>
      </c>
    </row>
    <row r="57" spans="1:6" ht="15" customHeight="1" x14ac:dyDescent="0.25">
      <c r="A57" s="122"/>
      <c r="B57" s="122"/>
      <c r="C57" s="122">
        <v>55</v>
      </c>
      <c r="D57" s="128" t="s">
        <v>50</v>
      </c>
      <c r="E57" s="128" t="s">
        <v>121</v>
      </c>
      <c r="F57" s="128" t="s">
        <v>203</v>
      </c>
    </row>
    <row r="58" spans="1:6" x14ac:dyDescent="0.25">
      <c r="A58" s="122"/>
      <c r="B58" s="122"/>
      <c r="C58" s="122">
        <v>56</v>
      </c>
      <c r="D58" s="128">
        <v>44518</v>
      </c>
      <c r="E58" s="129" t="s">
        <v>122</v>
      </c>
      <c r="F58" s="128">
        <v>44518</v>
      </c>
    </row>
    <row r="59" spans="1:6" ht="33" customHeight="1" x14ac:dyDescent="0.25">
      <c r="A59" s="122"/>
      <c r="B59" s="122"/>
      <c r="C59" s="122">
        <v>57</v>
      </c>
      <c r="D59" s="128" t="s">
        <v>23</v>
      </c>
      <c r="E59" s="128" t="s">
        <v>123</v>
      </c>
      <c r="F59" s="128" t="s">
        <v>204</v>
      </c>
    </row>
    <row r="60" spans="1:6" ht="35.25" customHeight="1" x14ac:dyDescent="0.25">
      <c r="A60" s="122"/>
      <c r="B60" s="122"/>
      <c r="C60" s="122">
        <v>58</v>
      </c>
      <c r="D60" s="128" t="s">
        <v>24</v>
      </c>
      <c r="E60" s="128" t="s">
        <v>124</v>
      </c>
      <c r="F60" s="128" t="s">
        <v>205</v>
      </c>
    </row>
    <row r="61" spans="1:6" ht="15" customHeight="1" x14ac:dyDescent="0.25">
      <c r="A61" s="122"/>
      <c r="B61" s="122"/>
      <c r="C61" s="122">
        <v>59</v>
      </c>
      <c r="D61" s="128" t="s">
        <v>29</v>
      </c>
      <c r="E61" s="128" t="s">
        <v>125</v>
      </c>
      <c r="F61" s="128" t="s">
        <v>206</v>
      </c>
    </row>
    <row r="62" spans="1:6" ht="15" customHeight="1" x14ac:dyDescent="0.25">
      <c r="A62" s="122"/>
      <c r="B62" s="122"/>
      <c r="C62" s="122">
        <v>60</v>
      </c>
      <c r="D62" s="128" t="s">
        <v>52</v>
      </c>
      <c r="E62" s="128" t="s">
        <v>126</v>
      </c>
      <c r="F62" s="128" t="s">
        <v>207</v>
      </c>
    </row>
    <row r="63" spans="1:6" ht="25.5" x14ac:dyDescent="0.25">
      <c r="A63" s="122"/>
      <c r="B63" s="122"/>
      <c r="C63" s="122">
        <v>61</v>
      </c>
      <c r="D63" s="128" t="s">
        <v>28</v>
      </c>
      <c r="E63" s="128" t="s">
        <v>127</v>
      </c>
      <c r="F63" s="128" t="s">
        <v>208</v>
      </c>
    </row>
    <row r="64" spans="1:6" ht="25.5" x14ac:dyDescent="0.25">
      <c r="A64" s="122"/>
      <c r="B64" s="122"/>
      <c r="C64" s="122">
        <v>62</v>
      </c>
      <c r="D64" s="128" t="s">
        <v>25</v>
      </c>
      <c r="E64" s="128" t="s">
        <v>128</v>
      </c>
      <c r="F64" s="128" t="s">
        <v>209</v>
      </c>
    </row>
    <row r="65" spans="1:6" x14ac:dyDescent="0.25">
      <c r="A65" s="122"/>
      <c r="B65" s="122"/>
      <c r="C65" s="122">
        <v>63</v>
      </c>
      <c r="D65" s="128">
        <v>44523</v>
      </c>
      <c r="E65" s="129" t="s">
        <v>129</v>
      </c>
      <c r="F65" s="128">
        <v>44523</v>
      </c>
    </row>
    <row r="66" spans="1:6" x14ac:dyDescent="0.25">
      <c r="A66" s="122"/>
      <c r="B66" s="122"/>
      <c r="C66" s="122">
        <v>64</v>
      </c>
      <c r="D66" s="128" t="s">
        <v>4</v>
      </c>
      <c r="E66" s="128" t="s">
        <v>130</v>
      </c>
      <c r="F66" s="128" t="s">
        <v>210</v>
      </c>
    </row>
    <row r="67" spans="1:6" x14ac:dyDescent="0.25">
      <c r="A67" s="122"/>
      <c r="B67" s="122"/>
      <c r="C67" s="122">
        <v>65</v>
      </c>
      <c r="D67" s="128">
        <v>44502</v>
      </c>
      <c r="E67" s="131" t="s">
        <v>131</v>
      </c>
      <c r="F67" s="128">
        <v>44502</v>
      </c>
    </row>
    <row r="68" spans="1:6" x14ac:dyDescent="0.25">
      <c r="A68" s="122"/>
      <c r="B68" s="122"/>
      <c r="C68" s="122">
        <v>66</v>
      </c>
      <c r="D68" s="128" t="s">
        <v>41</v>
      </c>
      <c r="E68" s="128" t="s">
        <v>132</v>
      </c>
      <c r="F68" s="128" t="s">
        <v>211</v>
      </c>
    </row>
    <row r="69" spans="1:6" x14ac:dyDescent="0.25">
      <c r="A69" s="122"/>
      <c r="B69" s="122"/>
      <c r="C69" s="122">
        <v>67</v>
      </c>
      <c r="D69" s="128" t="s">
        <v>42</v>
      </c>
      <c r="E69" s="128" t="s">
        <v>133</v>
      </c>
      <c r="F69" s="128" t="s">
        <v>212</v>
      </c>
    </row>
    <row r="70" spans="1:6" ht="25.5" x14ac:dyDescent="0.25">
      <c r="A70" s="122"/>
      <c r="B70" s="122"/>
      <c r="C70" s="122">
        <v>68</v>
      </c>
      <c r="D70" s="128" t="s">
        <v>43</v>
      </c>
      <c r="E70" s="128" t="s">
        <v>134</v>
      </c>
      <c r="F70" s="128" t="s">
        <v>213</v>
      </c>
    </row>
    <row r="71" spans="1:6" x14ac:dyDescent="0.25">
      <c r="A71" s="122"/>
      <c r="B71" s="122"/>
      <c r="C71" s="122">
        <v>69</v>
      </c>
      <c r="D71" s="128" t="s">
        <v>31</v>
      </c>
      <c r="E71" s="128" t="s">
        <v>135</v>
      </c>
      <c r="F71" s="128" t="s">
        <v>214</v>
      </c>
    </row>
    <row r="72" spans="1:6" ht="25.5" x14ac:dyDescent="0.25">
      <c r="A72" s="122"/>
      <c r="B72" s="122"/>
      <c r="C72" s="122">
        <v>70</v>
      </c>
      <c r="D72" s="128" t="s">
        <v>32</v>
      </c>
      <c r="E72" s="128" t="s">
        <v>136</v>
      </c>
      <c r="F72" s="128" t="s">
        <v>215</v>
      </c>
    </row>
    <row r="73" spans="1:6" x14ac:dyDescent="0.25">
      <c r="A73" s="122"/>
      <c r="B73" s="122"/>
      <c r="C73" s="122">
        <v>71</v>
      </c>
      <c r="D73" s="128" t="s">
        <v>44</v>
      </c>
      <c r="E73" s="128" t="s">
        <v>137</v>
      </c>
      <c r="F73" s="128" t="s">
        <v>216</v>
      </c>
    </row>
    <row r="74" spans="1:6" x14ac:dyDescent="0.25">
      <c r="A74" s="122"/>
      <c r="B74" s="122"/>
      <c r="C74" s="122">
        <v>72</v>
      </c>
      <c r="D74" s="128">
        <v>44503</v>
      </c>
      <c r="E74" s="131" t="s">
        <v>138</v>
      </c>
      <c r="F74" s="128">
        <v>44503</v>
      </c>
    </row>
    <row r="75" spans="1:6" x14ac:dyDescent="0.25">
      <c r="A75" s="122"/>
      <c r="B75" s="122"/>
      <c r="C75" s="122">
        <v>73</v>
      </c>
      <c r="D75" s="128">
        <v>44504</v>
      </c>
      <c r="E75" s="131" t="s">
        <v>139</v>
      </c>
      <c r="F75" s="128">
        <v>44504</v>
      </c>
    </row>
    <row r="76" spans="1:6" ht="25.5" customHeight="1" x14ac:dyDescent="0.25">
      <c r="C76" s="122">
        <v>74</v>
      </c>
      <c r="D76" s="128" t="s">
        <v>45</v>
      </c>
      <c r="E76" s="128" t="s">
        <v>140</v>
      </c>
      <c r="F76" s="128" t="s">
        <v>217</v>
      </c>
    </row>
    <row r="77" spans="1:6" x14ac:dyDescent="0.25">
      <c r="C77" s="122">
        <v>75</v>
      </c>
      <c r="D77" s="128" t="s">
        <v>46</v>
      </c>
      <c r="E77" s="128" t="s">
        <v>141</v>
      </c>
      <c r="F77" s="128" t="s">
        <v>218</v>
      </c>
    </row>
    <row r="78" spans="1:6" ht="37.5" customHeight="1" x14ac:dyDescent="0.25">
      <c r="C78" s="122">
        <v>76</v>
      </c>
      <c r="D78" s="128" t="s">
        <v>47</v>
      </c>
      <c r="E78" s="128" t="s">
        <v>142</v>
      </c>
      <c r="F78" s="128" t="s">
        <v>219</v>
      </c>
    </row>
    <row r="79" spans="1:6" x14ac:dyDescent="0.25">
      <c r="C79" s="122">
        <v>77</v>
      </c>
      <c r="D79" s="128" t="s">
        <v>33</v>
      </c>
      <c r="E79" s="128" t="s">
        <v>143</v>
      </c>
      <c r="F79" s="128" t="s">
        <v>220</v>
      </c>
    </row>
    <row r="80" spans="1:6" ht="25.5" x14ac:dyDescent="0.25">
      <c r="C80" s="122">
        <v>78</v>
      </c>
      <c r="D80" s="128" t="s">
        <v>48</v>
      </c>
      <c r="E80" s="128" t="s">
        <v>144</v>
      </c>
      <c r="F80" s="128" t="s">
        <v>221</v>
      </c>
    </row>
    <row r="81" spans="3:6" ht="25.5" x14ac:dyDescent="0.25">
      <c r="C81" s="122">
        <v>79</v>
      </c>
      <c r="D81" s="128" t="s">
        <v>34</v>
      </c>
      <c r="E81" s="128" t="s">
        <v>145</v>
      </c>
      <c r="F81" s="128" t="s">
        <v>222</v>
      </c>
    </row>
    <row r="82" spans="3:6" x14ac:dyDescent="0.25">
      <c r="C82" s="122">
        <v>80</v>
      </c>
      <c r="D82" s="128">
        <v>44512</v>
      </c>
      <c r="E82" s="131" t="s">
        <v>146</v>
      </c>
      <c r="F82" s="128">
        <v>44512</v>
      </c>
    </row>
    <row r="83" spans="3:6" x14ac:dyDescent="0.25">
      <c r="C83" s="122">
        <v>81</v>
      </c>
      <c r="D83" s="128" t="s">
        <v>4</v>
      </c>
      <c r="E83" s="131" t="s">
        <v>130</v>
      </c>
      <c r="F83" s="128" t="s">
        <v>210</v>
      </c>
    </row>
    <row r="84" spans="3:6" x14ac:dyDescent="0.25">
      <c r="C84" s="122">
        <v>82</v>
      </c>
      <c r="D84" s="128">
        <v>44530</v>
      </c>
      <c r="E84" s="131" t="s">
        <v>147</v>
      </c>
      <c r="F84" s="128">
        <v>44530</v>
      </c>
    </row>
    <row r="85" spans="3:6" x14ac:dyDescent="0.25">
      <c r="C85" s="122">
        <v>83</v>
      </c>
      <c r="D85" s="128" t="s">
        <v>35</v>
      </c>
      <c r="E85" s="131" t="s">
        <v>148</v>
      </c>
      <c r="F85" s="128" t="s">
        <v>223</v>
      </c>
    </row>
    <row r="86" spans="3:6" x14ac:dyDescent="0.25">
      <c r="C86" s="122">
        <v>84</v>
      </c>
      <c r="D86" s="128">
        <v>44462</v>
      </c>
      <c r="E86" s="131" t="s">
        <v>149</v>
      </c>
      <c r="F86" s="128">
        <v>44462</v>
      </c>
    </row>
    <row r="87" spans="3:6" x14ac:dyDescent="0.25">
      <c r="C87" s="122">
        <v>85</v>
      </c>
      <c r="D87" s="128" t="s">
        <v>57</v>
      </c>
      <c r="E87" s="131" t="s">
        <v>150</v>
      </c>
      <c r="F87" s="128" t="s">
        <v>224</v>
      </c>
    </row>
    <row r="88" spans="3:6" ht="25.5" x14ac:dyDescent="0.25">
      <c r="C88" s="122">
        <v>86</v>
      </c>
      <c r="D88" s="128" t="s">
        <v>36</v>
      </c>
      <c r="E88" s="131" t="s">
        <v>151</v>
      </c>
      <c r="F88" s="128" t="s">
        <v>225</v>
      </c>
    </row>
    <row r="89" spans="3:6" x14ac:dyDescent="0.25">
      <c r="C89" s="122">
        <v>87</v>
      </c>
      <c r="D89" s="128" t="s">
        <v>53</v>
      </c>
      <c r="E89" s="131" t="s">
        <v>152</v>
      </c>
      <c r="F89" s="128" t="s">
        <v>226</v>
      </c>
    </row>
    <row r="90" spans="3:6" ht="25.5" x14ac:dyDescent="0.25">
      <c r="C90" s="122">
        <v>88</v>
      </c>
      <c r="D90" s="128" t="s">
        <v>37</v>
      </c>
      <c r="E90" s="131" t="s">
        <v>153</v>
      </c>
      <c r="F90" s="128" t="s">
        <v>227</v>
      </c>
    </row>
    <row r="91" spans="3:6" x14ac:dyDescent="0.25">
      <c r="C91" s="122">
        <v>89</v>
      </c>
      <c r="D91" s="128">
        <v>44532</v>
      </c>
      <c r="E91" s="131" t="s">
        <v>154</v>
      </c>
      <c r="F91" s="128">
        <v>44532</v>
      </c>
    </row>
    <row r="92" spans="3:6" ht="25.5" x14ac:dyDescent="0.25">
      <c r="C92" s="122">
        <v>90</v>
      </c>
      <c r="D92" s="128" t="s">
        <v>54</v>
      </c>
      <c r="E92" s="131" t="s">
        <v>155</v>
      </c>
      <c r="F92" s="128" t="s">
        <v>228</v>
      </c>
    </row>
    <row r="93" spans="3:6" ht="25.5" x14ac:dyDescent="0.25">
      <c r="C93" s="122">
        <v>91</v>
      </c>
      <c r="D93" s="128" t="s">
        <v>55</v>
      </c>
      <c r="E93" s="131" t="s">
        <v>156</v>
      </c>
      <c r="F93" s="128" t="s">
        <v>229</v>
      </c>
    </row>
    <row r="94" spans="3:6" ht="39" customHeight="1" x14ac:dyDescent="0.25">
      <c r="C94" s="122">
        <v>92</v>
      </c>
      <c r="D94" s="128" t="s">
        <v>56</v>
      </c>
      <c r="E94" s="131" t="s">
        <v>157</v>
      </c>
      <c r="F94" s="128" t="s">
        <v>230</v>
      </c>
    </row>
    <row r="95" spans="3:6" x14ac:dyDescent="0.25">
      <c r="C95" s="122">
        <v>93</v>
      </c>
      <c r="D95" s="128" t="s">
        <v>39</v>
      </c>
      <c r="E95" s="131" t="s">
        <v>158</v>
      </c>
      <c r="F95" s="128" t="s">
        <v>231</v>
      </c>
    </row>
    <row r="96" spans="3:6" ht="25.5" x14ac:dyDescent="0.25">
      <c r="C96" s="122">
        <v>94</v>
      </c>
      <c r="D96" s="128" t="s">
        <v>38</v>
      </c>
      <c r="E96" s="131" t="s">
        <v>159</v>
      </c>
      <c r="F96" s="128" t="s">
        <v>232</v>
      </c>
    </row>
    <row r="97" spans="3:6" ht="25.5" x14ac:dyDescent="0.25">
      <c r="C97" s="122">
        <v>95</v>
      </c>
      <c r="D97" s="128" t="s">
        <v>40</v>
      </c>
      <c r="E97" s="131" t="s">
        <v>160</v>
      </c>
      <c r="F97" s="128" t="s">
        <v>233</v>
      </c>
    </row>
    <row r="98" spans="3:6" x14ac:dyDescent="0.25">
      <c r="C98" s="122">
        <v>96</v>
      </c>
      <c r="D98" s="128">
        <v>44540</v>
      </c>
      <c r="E98" s="131" t="s">
        <v>161</v>
      </c>
      <c r="F98" s="128">
        <v>44540</v>
      </c>
    </row>
    <row r="99" spans="3:6" x14ac:dyDescent="0.25">
      <c r="C99" s="122">
        <v>97</v>
      </c>
      <c r="D99" s="128"/>
      <c r="E99" s="124"/>
    </row>
    <row r="100" spans="3:6" x14ac:dyDescent="0.25">
      <c r="C100" s="122">
        <v>98</v>
      </c>
      <c r="D100" s="128" t="s">
        <v>237</v>
      </c>
      <c r="E100" s="128" t="s">
        <v>237</v>
      </c>
      <c r="F100" s="128" t="s">
        <v>237</v>
      </c>
    </row>
    <row r="101" spans="3:6" x14ac:dyDescent="0.25">
      <c r="C101" s="122">
        <v>99</v>
      </c>
      <c r="D101" s="128" t="s">
        <v>288</v>
      </c>
      <c r="E101" s="124" t="s">
        <v>289</v>
      </c>
      <c r="F101" s="160" t="s">
        <v>290</v>
      </c>
    </row>
    <row r="102" spans="3:6" x14ac:dyDescent="0.25">
      <c r="C102" s="122">
        <v>100</v>
      </c>
      <c r="D102" s="128" t="s">
        <v>4</v>
      </c>
      <c r="E102" s="124" t="s">
        <v>130</v>
      </c>
      <c r="F102" s="396" t="s">
        <v>210</v>
      </c>
    </row>
    <row r="103" spans="3:6" x14ac:dyDescent="0.25">
      <c r="C103" s="122">
        <v>101</v>
      </c>
      <c r="D103" s="128" t="s">
        <v>299</v>
      </c>
      <c r="E103" s="124" t="s">
        <v>300</v>
      </c>
      <c r="F103" s="396" t="s">
        <v>301</v>
      </c>
    </row>
    <row r="104" spans="3:6" x14ac:dyDescent="0.25">
      <c r="C104" s="122">
        <v>102</v>
      </c>
      <c r="D104" s="128"/>
      <c r="E104" s="124"/>
    </row>
    <row r="105" spans="3:6" x14ac:dyDescent="0.25">
      <c r="C105" s="122">
        <v>103</v>
      </c>
      <c r="D105" s="128"/>
      <c r="E105" s="124"/>
    </row>
    <row r="106" spans="3:6" ht="32.450000000000003" customHeight="1" x14ac:dyDescent="0.25">
      <c r="C106" s="122">
        <v>104</v>
      </c>
      <c r="D106" s="128"/>
      <c r="E106" s="124"/>
    </row>
    <row r="107" spans="3:6" ht="32.450000000000003" customHeight="1" x14ac:dyDescent="0.25">
      <c r="C107" s="122">
        <v>105</v>
      </c>
      <c r="D107" s="128"/>
      <c r="E107" s="124"/>
    </row>
    <row r="108" spans="3:6" ht="32.450000000000003" customHeight="1" x14ac:dyDescent="0.25">
      <c r="C108" s="122">
        <v>106</v>
      </c>
      <c r="D108" s="128"/>
      <c r="E108" s="124"/>
    </row>
    <row r="109" spans="3:6" x14ac:dyDescent="0.25">
      <c r="C109" s="122">
        <v>107</v>
      </c>
      <c r="D109" s="128"/>
      <c r="E109" s="124"/>
    </row>
    <row r="110" spans="3:6" x14ac:dyDescent="0.25">
      <c r="C110" s="122">
        <v>108</v>
      </c>
      <c r="D110" s="128"/>
      <c r="E110" s="124"/>
    </row>
    <row r="111" spans="3:6" x14ac:dyDescent="0.25">
      <c r="C111" s="122">
        <v>109</v>
      </c>
      <c r="D111" s="128"/>
      <c r="E111" s="124"/>
    </row>
    <row r="112" spans="3:6" x14ac:dyDescent="0.25">
      <c r="C112" s="122">
        <v>110</v>
      </c>
      <c r="D112" s="128"/>
      <c r="E112" s="124"/>
    </row>
    <row r="113" spans="3:5" x14ac:dyDescent="0.25">
      <c r="C113" s="122">
        <v>111</v>
      </c>
      <c r="D113" s="128"/>
      <c r="E113" s="124"/>
    </row>
    <row r="114" spans="3:5" x14ac:dyDescent="0.25">
      <c r="C114" s="122">
        <v>112</v>
      </c>
      <c r="D114" s="128"/>
      <c r="E114" s="124"/>
    </row>
    <row r="115" spans="3:5" x14ac:dyDescent="0.25">
      <c r="C115" s="122">
        <v>113</v>
      </c>
      <c r="D115" s="128"/>
      <c r="E115" s="124"/>
    </row>
    <row r="116" spans="3:5" x14ac:dyDescent="0.25">
      <c r="C116" s="122">
        <v>114</v>
      </c>
      <c r="D116" s="128"/>
      <c r="E116" s="124"/>
    </row>
    <row r="117" spans="3:5" x14ac:dyDescent="0.25">
      <c r="C117" s="122">
        <v>115</v>
      </c>
      <c r="D117" s="128"/>
      <c r="E117" s="124"/>
    </row>
    <row r="118" spans="3:5" x14ac:dyDescent="0.25">
      <c r="C118" s="122">
        <v>116</v>
      </c>
      <c r="D118" s="128"/>
      <c r="E118" s="124"/>
    </row>
    <row r="119" spans="3:5" x14ac:dyDescent="0.25">
      <c r="C119" s="122">
        <v>117</v>
      </c>
      <c r="D119" s="128"/>
      <c r="E119" s="124"/>
    </row>
    <row r="120" spans="3:5" x14ac:dyDescent="0.25">
      <c r="C120" s="122">
        <v>118</v>
      </c>
      <c r="D120" s="128"/>
      <c r="E120" s="124"/>
    </row>
    <row r="121" spans="3:5" x14ac:dyDescent="0.25">
      <c r="C121" s="122">
        <v>119</v>
      </c>
      <c r="D121" s="128"/>
      <c r="E121" s="124"/>
    </row>
    <row r="122" spans="3:5" x14ac:dyDescent="0.25">
      <c r="C122" s="122">
        <v>120</v>
      </c>
      <c r="D122" s="128"/>
      <c r="E122" s="124"/>
    </row>
    <row r="123" spans="3:5" x14ac:dyDescent="0.25">
      <c r="C123" s="122">
        <v>121</v>
      </c>
      <c r="D123" s="128"/>
      <c r="E123" s="124"/>
    </row>
    <row r="124" spans="3:5" x14ac:dyDescent="0.25">
      <c r="C124" s="122">
        <v>122</v>
      </c>
      <c r="D124" s="128"/>
      <c r="E124" s="124"/>
    </row>
    <row r="125" spans="3:5" x14ac:dyDescent="0.25">
      <c r="C125" s="122">
        <v>123</v>
      </c>
      <c r="D125" s="128"/>
      <c r="E125" s="124"/>
    </row>
    <row r="126" spans="3:5" x14ac:dyDescent="0.25">
      <c r="C126" s="122">
        <v>124</v>
      </c>
      <c r="D126" s="128"/>
      <c r="E126" s="124"/>
    </row>
    <row r="127" spans="3:5" x14ac:dyDescent="0.25">
      <c r="C127" s="122">
        <v>125</v>
      </c>
      <c r="D127" s="128"/>
      <c r="E127" s="124"/>
    </row>
    <row r="128" spans="3:5" x14ac:dyDescent="0.25">
      <c r="C128" s="122">
        <v>126</v>
      </c>
      <c r="D128" s="128"/>
      <c r="E128" s="124"/>
    </row>
    <row r="129" spans="3:5" x14ac:dyDescent="0.25">
      <c r="C129" s="122">
        <v>127</v>
      </c>
      <c r="D129" s="128"/>
      <c r="E129" s="124"/>
    </row>
    <row r="130" spans="3:5" x14ac:dyDescent="0.25">
      <c r="C130" s="122">
        <v>128</v>
      </c>
      <c r="D130" s="128"/>
      <c r="E130" s="124"/>
    </row>
    <row r="131" spans="3:5" x14ac:dyDescent="0.25">
      <c r="C131" s="122">
        <v>129</v>
      </c>
      <c r="D131" s="128"/>
      <c r="E131" s="124"/>
    </row>
    <row r="132" spans="3:5" x14ac:dyDescent="0.25">
      <c r="C132" s="122">
        <v>130</v>
      </c>
      <c r="D132" s="128"/>
      <c r="E132" s="124"/>
    </row>
    <row r="133" spans="3:5" x14ac:dyDescent="0.25">
      <c r="C133" s="122">
        <v>131</v>
      </c>
      <c r="D133" s="128"/>
      <c r="E133" s="124"/>
    </row>
    <row r="134" spans="3:5" x14ac:dyDescent="0.25">
      <c r="C134" s="122">
        <v>132</v>
      </c>
      <c r="D134" s="128"/>
      <c r="E134" s="124"/>
    </row>
    <row r="135" spans="3:5" x14ac:dyDescent="0.25">
      <c r="C135" s="122">
        <v>133</v>
      </c>
      <c r="D135" s="128"/>
      <c r="E135" s="124"/>
    </row>
    <row r="136" spans="3:5" x14ac:dyDescent="0.25">
      <c r="C136" s="122">
        <v>134</v>
      </c>
      <c r="D136" s="128"/>
      <c r="E136" s="124"/>
    </row>
    <row r="137" spans="3:5" x14ac:dyDescent="0.25">
      <c r="C137" s="122">
        <v>135</v>
      </c>
      <c r="D137" s="128"/>
      <c r="E137" s="124"/>
    </row>
    <row r="138" spans="3:5" x14ac:dyDescent="0.25">
      <c r="C138" s="122">
        <v>136</v>
      </c>
      <c r="D138" s="128"/>
      <c r="E138" s="124"/>
    </row>
    <row r="139" spans="3:5" x14ac:dyDescent="0.25">
      <c r="C139" s="122">
        <v>137</v>
      </c>
      <c r="D139" s="128"/>
      <c r="E139" s="124"/>
    </row>
    <row r="140" spans="3:5" x14ac:dyDescent="0.25">
      <c r="C140" s="122">
        <v>138</v>
      </c>
      <c r="D140" s="128"/>
      <c r="E140" s="124"/>
    </row>
    <row r="141" spans="3:5" x14ac:dyDescent="0.25">
      <c r="C141" s="122">
        <v>139</v>
      </c>
      <c r="D141" s="128"/>
      <c r="E141" s="124"/>
    </row>
    <row r="142" spans="3:5" x14ac:dyDescent="0.25">
      <c r="C142" s="122">
        <v>140</v>
      </c>
      <c r="D142" s="128"/>
      <c r="E142" s="124"/>
    </row>
    <row r="143" spans="3:5" x14ac:dyDescent="0.25">
      <c r="C143" s="122">
        <v>141</v>
      </c>
      <c r="D143" s="128"/>
      <c r="E143" s="124"/>
    </row>
    <row r="144" spans="3:5" x14ac:dyDescent="0.25">
      <c r="C144" s="122">
        <v>142</v>
      </c>
      <c r="D144" s="128"/>
      <c r="E144" s="124"/>
    </row>
    <row r="145" spans="3:5" x14ac:dyDescent="0.25">
      <c r="C145" s="122">
        <v>143</v>
      </c>
      <c r="D145" s="128"/>
      <c r="E145" s="124"/>
    </row>
    <row r="146" spans="3:5" x14ac:dyDescent="0.25">
      <c r="C146" s="122">
        <v>144</v>
      </c>
      <c r="D146" s="128"/>
      <c r="E146" s="124"/>
    </row>
    <row r="147" spans="3:5" x14ac:dyDescent="0.25">
      <c r="C147" s="122">
        <v>145</v>
      </c>
      <c r="D147" s="128"/>
      <c r="E147" s="124"/>
    </row>
    <row r="148" spans="3:5" x14ac:dyDescent="0.25">
      <c r="C148" s="122">
        <v>146</v>
      </c>
      <c r="D148" s="128"/>
      <c r="E148" s="124"/>
    </row>
    <row r="149" spans="3:5" x14ac:dyDescent="0.25">
      <c r="C149" s="122">
        <v>147</v>
      </c>
      <c r="D149" s="128"/>
      <c r="E149" s="124"/>
    </row>
    <row r="150" spans="3:5" x14ac:dyDescent="0.25">
      <c r="C150" s="122">
        <v>148</v>
      </c>
      <c r="D150" s="128"/>
      <c r="E150" s="124"/>
    </row>
    <row r="151" spans="3:5" x14ac:dyDescent="0.25">
      <c r="C151" s="122">
        <v>149</v>
      </c>
      <c r="D151" s="128"/>
      <c r="E151" s="124"/>
    </row>
    <row r="152" spans="3:5" x14ac:dyDescent="0.25">
      <c r="C152" s="122">
        <v>150</v>
      </c>
      <c r="D152" s="128"/>
      <c r="E152" s="124"/>
    </row>
    <row r="153" spans="3:5" x14ac:dyDescent="0.25">
      <c r="C153" s="122">
        <v>151</v>
      </c>
      <c r="D153" s="128"/>
      <c r="E153" s="124"/>
    </row>
    <row r="154" spans="3:5" x14ac:dyDescent="0.25">
      <c r="C154" s="122">
        <v>152</v>
      </c>
      <c r="D154" s="128"/>
      <c r="E154" s="124"/>
    </row>
    <row r="155" spans="3:5" x14ac:dyDescent="0.25">
      <c r="C155" s="122">
        <v>153</v>
      </c>
      <c r="D155" s="128"/>
      <c r="E155" s="124"/>
    </row>
    <row r="156" spans="3:5" x14ac:dyDescent="0.25">
      <c r="C156" s="122">
        <v>154</v>
      </c>
      <c r="D156" s="128"/>
      <c r="E156" s="124"/>
    </row>
    <row r="157" spans="3:5" x14ac:dyDescent="0.25">
      <c r="C157" s="122">
        <v>155</v>
      </c>
      <c r="D157" s="128"/>
      <c r="E157" s="124"/>
    </row>
    <row r="158" spans="3:5" x14ac:dyDescent="0.25">
      <c r="C158" s="122">
        <v>156</v>
      </c>
      <c r="D158" s="128"/>
      <c r="E158" s="124"/>
    </row>
    <row r="159" spans="3:5" x14ac:dyDescent="0.25">
      <c r="C159" s="122">
        <v>157</v>
      </c>
      <c r="D159" s="128"/>
      <c r="E159" s="124"/>
    </row>
    <row r="160" spans="3:5" x14ac:dyDescent="0.25">
      <c r="C160" s="122">
        <v>158</v>
      </c>
      <c r="D160" s="128"/>
      <c r="E160" s="124"/>
    </row>
    <row r="161" spans="3:5" x14ac:dyDescent="0.25">
      <c r="C161" s="122">
        <v>159</v>
      </c>
      <c r="D161" s="128"/>
      <c r="E161" s="124"/>
    </row>
    <row r="162" spans="3:5" x14ac:dyDescent="0.25">
      <c r="C162" s="122">
        <v>160</v>
      </c>
      <c r="D162" s="128"/>
      <c r="E162" s="124"/>
    </row>
    <row r="163" spans="3:5" x14ac:dyDescent="0.25">
      <c r="C163" s="122">
        <v>161</v>
      </c>
      <c r="D163" s="128"/>
      <c r="E163" s="124"/>
    </row>
    <row r="164" spans="3:5" x14ac:dyDescent="0.25">
      <c r="C164" s="122">
        <v>162</v>
      </c>
      <c r="D164" s="128"/>
      <c r="E164" s="124"/>
    </row>
    <row r="165" spans="3:5" x14ac:dyDescent="0.25">
      <c r="C165" s="122">
        <v>163</v>
      </c>
      <c r="D165" s="128"/>
      <c r="E165" s="124"/>
    </row>
    <row r="166" spans="3:5" x14ac:dyDescent="0.25">
      <c r="C166" s="122">
        <v>164</v>
      </c>
      <c r="D166" s="128"/>
      <c r="E166" s="124"/>
    </row>
    <row r="167" spans="3:5" x14ac:dyDescent="0.25">
      <c r="C167" s="122">
        <v>165</v>
      </c>
      <c r="D167" s="128"/>
      <c r="E167" s="124"/>
    </row>
    <row r="168" spans="3:5" x14ac:dyDescent="0.25">
      <c r="C168" s="122">
        <v>166</v>
      </c>
      <c r="D168" s="128"/>
      <c r="E168" s="124"/>
    </row>
    <row r="169" spans="3:5" x14ac:dyDescent="0.25">
      <c r="C169" s="122">
        <v>167</v>
      </c>
      <c r="D169" s="128"/>
      <c r="E169" s="124"/>
    </row>
    <row r="170" spans="3:5" x14ac:dyDescent="0.25">
      <c r="C170" s="122">
        <v>168</v>
      </c>
      <c r="D170" s="128"/>
      <c r="E170" s="124"/>
    </row>
    <row r="171" spans="3:5" x14ac:dyDescent="0.25">
      <c r="C171" s="122">
        <v>169</v>
      </c>
      <c r="D171" s="128"/>
      <c r="E171" s="124"/>
    </row>
    <row r="172" spans="3:5" x14ac:dyDescent="0.25">
      <c r="C172" s="122">
        <v>170</v>
      </c>
      <c r="D172" s="128"/>
      <c r="E172" s="124"/>
    </row>
    <row r="173" spans="3:5" x14ac:dyDescent="0.25">
      <c r="C173" s="122">
        <v>171</v>
      </c>
      <c r="D173" s="128"/>
      <c r="E173" s="124"/>
    </row>
    <row r="174" spans="3:5" x14ac:dyDescent="0.25">
      <c r="C174" s="122">
        <v>172</v>
      </c>
      <c r="D174" s="128"/>
      <c r="E174" s="124"/>
    </row>
    <row r="175" spans="3:5" x14ac:dyDescent="0.25">
      <c r="C175" s="122">
        <v>173</v>
      </c>
      <c r="D175" s="128"/>
      <c r="E175" s="124"/>
    </row>
    <row r="176" spans="3:5" x14ac:dyDescent="0.25">
      <c r="C176" s="122">
        <v>174</v>
      </c>
      <c r="D176" s="128"/>
      <c r="E176" s="124"/>
    </row>
    <row r="177" spans="3:5" x14ac:dyDescent="0.25">
      <c r="C177" s="122">
        <v>175</v>
      </c>
      <c r="D177" s="128"/>
      <c r="E177" s="124"/>
    </row>
    <row r="178" spans="3:5" x14ac:dyDescent="0.25">
      <c r="C178" s="122">
        <v>176</v>
      </c>
      <c r="D178" s="128"/>
      <c r="E178" s="124"/>
    </row>
    <row r="179" spans="3:5" x14ac:dyDescent="0.25">
      <c r="C179" s="122">
        <v>177</v>
      </c>
      <c r="D179" s="128"/>
      <c r="E179" s="124"/>
    </row>
    <row r="180" spans="3:5" x14ac:dyDescent="0.25">
      <c r="C180" s="122">
        <v>178</v>
      </c>
      <c r="D180" s="128"/>
      <c r="E180" s="124"/>
    </row>
    <row r="181" spans="3:5" x14ac:dyDescent="0.25">
      <c r="C181" s="122">
        <v>179</v>
      </c>
      <c r="D181" s="128"/>
      <c r="E181" s="124"/>
    </row>
    <row r="182" spans="3:5" x14ac:dyDescent="0.25">
      <c r="C182" s="122">
        <v>180</v>
      </c>
      <c r="D182" s="128"/>
      <c r="E182" s="124"/>
    </row>
    <row r="183" spans="3:5" x14ac:dyDescent="0.25">
      <c r="C183" s="122">
        <v>181</v>
      </c>
      <c r="D183" s="128"/>
      <c r="E183" s="124"/>
    </row>
    <row r="184" spans="3:5" x14ac:dyDescent="0.25">
      <c r="C184" s="122">
        <v>182</v>
      </c>
      <c r="D184" s="128"/>
      <c r="E184" s="124"/>
    </row>
    <row r="185" spans="3:5" x14ac:dyDescent="0.25">
      <c r="C185" s="122">
        <v>183</v>
      </c>
      <c r="D185" s="128"/>
      <c r="E185" s="124"/>
    </row>
    <row r="186" spans="3:5" x14ac:dyDescent="0.25">
      <c r="C186" s="122">
        <v>184</v>
      </c>
      <c r="D186" s="128"/>
      <c r="E186" s="124"/>
    </row>
    <row r="187" spans="3:5" x14ac:dyDescent="0.25">
      <c r="C187" s="122">
        <v>185</v>
      </c>
      <c r="D187" s="128"/>
      <c r="E187" s="124"/>
    </row>
    <row r="188" spans="3:5" x14ac:dyDescent="0.25">
      <c r="C188" s="122">
        <v>186</v>
      </c>
      <c r="D188" s="128"/>
      <c r="E188" s="124"/>
    </row>
    <row r="189" spans="3:5" x14ac:dyDescent="0.25">
      <c r="C189" s="122">
        <v>187</v>
      </c>
      <c r="D189" s="128"/>
      <c r="E189" s="124"/>
    </row>
    <row r="190" spans="3:5" x14ac:dyDescent="0.25">
      <c r="C190" s="122">
        <v>188</v>
      </c>
      <c r="D190" s="128"/>
      <c r="E190" s="124"/>
    </row>
    <row r="191" spans="3:5" x14ac:dyDescent="0.25">
      <c r="C191" s="122">
        <v>189</v>
      </c>
      <c r="D191" s="128"/>
      <c r="E191" s="124"/>
    </row>
    <row r="192" spans="3:5" x14ac:dyDescent="0.25">
      <c r="C192" s="122">
        <v>190</v>
      </c>
      <c r="D192" s="128"/>
      <c r="E192" s="124"/>
    </row>
    <row r="193" spans="3:5" x14ac:dyDescent="0.25">
      <c r="C193" s="122">
        <v>191</v>
      </c>
      <c r="D193" s="128"/>
      <c r="E193" s="124"/>
    </row>
    <row r="194" spans="3:5" x14ac:dyDescent="0.25">
      <c r="C194" s="122">
        <v>192</v>
      </c>
      <c r="D194" s="128"/>
      <c r="E194" s="124"/>
    </row>
    <row r="195" spans="3:5" x14ac:dyDescent="0.25">
      <c r="C195" s="122">
        <v>193</v>
      </c>
      <c r="D195" s="128"/>
      <c r="E195" s="124"/>
    </row>
    <row r="196" spans="3:5" x14ac:dyDescent="0.25">
      <c r="C196" s="122">
        <v>194</v>
      </c>
      <c r="D196" s="128"/>
      <c r="E196" s="124"/>
    </row>
    <row r="197" spans="3:5" x14ac:dyDescent="0.25">
      <c r="C197" s="122">
        <v>195</v>
      </c>
      <c r="D197" s="128"/>
      <c r="E197" s="124"/>
    </row>
    <row r="198" spans="3:5" x14ac:dyDescent="0.25">
      <c r="C198" s="122">
        <v>196</v>
      </c>
      <c r="D198" s="128"/>
      <c r="E198" s="124"/>
    </row>
    <row r="199" spans="3:5" x14ac:dyDescent="0.25">
      <c r="C199" s="122">
        <v>197</v>
      </c>
      <c r="D199" s="128"/>
      <c r="E199" s="124"/>
    </row>
    <row r="200" spans="3:5" x14ac:dyDescent="0.25">
      <c r="C200" s="122">
        <v>198</v>
      </c>
      <c r="D200" s="128"/>
      <c r="E200" s="124"/>
    </row>
    <row r="201" spans="3:5" x14ac:dyDescent="0.25">
      <c r="C201" s="122">
        <v>199</v>
      </c>
      <c r="D201" s="128"/>
      <c r="E201" s="124"/>
    </row>
    <row r="202" spans="3:5" x14ac:dyDescent="0.25">
      <c r="C202" s="122">
        <v>200</v>
      </c>
      <c r="D202" s="128"/>
      <c r="E202" s="124"/>
    </row>
    <row r="203" spans="3:5" x14ac:dyDescent="0.25">
      <c r="C203" s="122">
        <v>201</v>
      </c>
      <c r="D203" s="128"/>
      <c r="E203" s="124"/>
    </row>
    <row r="204" spans="3:5" x14ac:dyDescent="0.25">
      <c r="C204" s="122">
        <v>202</v>
      </c>
      <c r="D204" s="128"/>
    </row>
    <row r="205" spans="3:5" x14ac:dyDescent="0.25">
      <c r="C205" s="122">
        <v>203</v>
      </c>
      <c r="D205" s="128"/>
    </row>
    <row r="206" spans="3:5" x14ac:dyDescent="0.25">
      <c r="C206" s="122">
        <v>204</v>
      </c>
      <c r="D206" s="128"/>
    </row>
    <row r="207" spans="3:5" x14ac:dyDescent="0.25">
      <c r="C207" s="122">
        <v>205</v>
      </c>
      <c r="D207" s="128"/>
    </row>
    <row r="208" spans="3:5" x14ac:dyDescent="0.25">
      <c r="C208" s="122">
        <v>206</v>
      </c>
      <c r="D208" s="128"/>
    </row>
    <row r="209" spans="3:4" x14ac:dyDescent="0.25">
      <c r="C209" s="122">
        <v>207</v>
      </c>
      <c r="D209" s="128"/>
    </row>
    <row r="210" spans="3:4" x14ac:dyDescent="0.25">
      <c r="C210" s="122">
        <v>208</v>
      </c>
      <c r="D210" s="128"/>
    </row>
    <row r="211" spans="3:4" x14ac:dyDescent="0.25">
      <c r="C211" s="122">
        <v>209</v>
      </c>
      <c r="D211" s="128"/>
    </row>
    <row r="212" spans="3:4" x14ac:dyDescent="0.25">
      <c r="C212" s="122">
        <v>210</v>
      </c>
      <c r="D212" s="128"/>
    </row>
    <row r="213" spans="3:4" x14ac:dyDescent="0.25">
      <c r="C213" s="122">
        <v>211</v>
      </c>
      <c r="D213" s="128"/>
    </row>
    <row r="214" spans="3:4" x14ac:dyDescent="0.25">
      <c r="C214" s="122">
        <v>212</v>
      </c>
      <c r="D214" s="128"/>
    </row>
    <row r="215" spans="3:4" x14ac:dyDescent="0.25">
      <c r="C215" s="122">
        <v>213</v>
      </c>
      <c r="D215" s="128"/>
    </row>
    <row r="216" spans="3:4" x14ac:dyDescent="0.25">
      <c r="C216" s="122">
        <v>214</v>
      </c>
      <c r="D216" s="128"/>
    </row>
    <row r="217" spans="3:4" x14ac:dyDescent="0.25">
      <c r="C217" s="122">
        <v>215</v>
      </c>
      <c r="D217" s="128"/>
    </row>
    <row r="218" spans="3:4" x14ac:dyDescent="0.25">
      <c r="C218" s="122">
        <v>216</v>
      </c>
      <c r="D218" s="128"/>
    </row>
    <row r="219" spans="3:4" x14ac:dyDescent="0.25">
      <c r="C219" s="122">
        <v>217</v>
      </c>
      <c r="D219" s="128"/>
    </row>
    <row r="220" spans="3:4" x14ac:dyDescent="0.25">
      <c r="C220" s="122">
        <v>218</v>
      </c>
      <c r="D220" s="128"/>
    </row>
    <row r="221" spans="3:4" x14ac:dyDescent="0.25">
      <c r="C221" s="122">
        <v>219</v>
      </c>
      <c r="D221" s="128"/>
    </row>
    <row r="222" spans="3:4" x14ac:dyDescent="0.25">
      <c r="C222" s="122">
        <v>220</v>
      </c>
      <c r="D222" s="128"/>
    </row>
    <row r="223" spans="3:4" x14ac:dyDescent="0.25">
      <c r="C223" s="122">
        <v>221</v>
      </c>
      <c r="D223" s="128"/>
    </row>
    <row r="224" spans="3:4" x14ac:dyDescent="0.25">
      <c r="C224" s="122">
        <v>222</v>
      </c>
      <c r="D224" s="128"/>
    </row>
    <row r="225" spans="3:4" x14ac:dyDescent="0.25">
      <c r="C225" s="122">
        <v>223</v>
      </c>
      <c r="D225" s="128"/>
    </row>
    <row r="226" spans="3:4" x14ac:dyDescent="0.25">
      <c r="C226" s="122">
        <v>224</v>
      </c>
      <c r="D226" s="128"/>
    </row>
    <row r="227" spans="3:4" x14ac:dyDescent="0.25">
      <c r="C227" s="122">
        <v>225</v>
      </c>
      <c r="D227" s="128"/>
    </row>
    <row r="228" spans="3:4" x14ac:dyDescent="0.25">
      <c r="C228" s="122">
        <v>226</v>
      </c>
      <c r="D228" s="128"/>
    </row>
    <row r="229" spans="3:4" x14ac:dyDescent="0.25">
      <c r="C229" s="122">
        <v>227</v>
      </c>
    </row>
    <row r="230" spans="3:4" x14ac:dyDescent="0.25">
      <c r="C230" s="122">
        <v>228</v>
      </c>
    </row>
    <row r="231" spans="3:4" x14ac:dyDescent="0.25">
      <c r="C231" s="122">
        <v>229</v>
      </c>
    </row>
    <row r="232" spans="3:4" x14ac:dyDescent="0.25">
      <c r="C232" s="122">
        <v>230</v>
      </c>
    </row>
    <row r="233" spans="3:4" x14ac:dyDescent="0.25">
      <c r="C233" s="122">
        <v>231</v>
      </c>
    </row>
    <row r="234" spans="3:4" x14ac:dyDescent="0.25">
      <c r="C234" s="122">
        <v>232</v>
      </c>
    </row>
    <row r="235" spans="3:4" x14ac:dyDescent="0.25">
      <c r="C235" s="122">
        <v>233</v>
      </c>
    </row>
    <row r="236" spans="3:4" x14ac:dyDescent="0.25">
      <c r="C236" s="122">
        <v>234</v>
      </c>
    </row>
    <row r="237" spans="3:4" x14ac:dyDescent="0.25">
      <c r="C237" s="122">
        <v>235</v>
      </c>
    </row>
    <row r="238" spans="3:4" x14ac:dyDescent="0.25">
      <c r="C238" s="122">
        <v>236</v>
      </c>
    </row>
    <row r="239" spans="3:4" x14ac:dyDescent="0.25">
      <c r="C239" s="122">
        <v>237</v>
      </c>
    </row>
    <row r="240" spans="3:4" x14ac:dyDescent="0.25">
      <c r="C240" s="122">
        <v>238</v>
      </c>
    </row>
    <row r="241" spans="3:3" x14ac:dyDescent="0.25">
      <c r="C241" s="122">
        <v>239</v>
      </c>
    </row>
    <row r="242" spans="3:3" x14ac:dyDescent="0.25">
      <c r="C242" s="122">
        <v>240</v>
      </c>
    </row>
    <row r="243" spans="3:3" x14ac:dyDescent="0.25">
      <c r="C243" s="122">
        <v>241</v>
      </c>
    </row>
    <row r="244" spans="3:3" x14ac:dyDescent="0.25">
      <c r="C244" s="122">
        <v>242</v>
      </c>
    </row>
    <row r="245" spans="3:3" x14ac:dyDescent="0.25">
      <c r="C245" s="122">
        <v>243</v>
      </c>
    </row>
    <row r="246" spans="3:3" x14ac:dyDescent="0.25">
      <c r="C246" s="122">
        <v>244</v>
      </c>
    </row>
    <row r="247" spans="3:3" x14ac:dyDescent="0.25">
      <c r="C247" s="122">
        <v>245</v>
      </c>
    </row>
    <row r="248" spans="3:3" x14ac:dyDescent="0.25">
      <c r="C248" s="122">
        <v>246</v>
      </c>
    </row>
    <row r="249" spans="3:3" x14ac:dyDescent="0.25">
      <c r="C249" s="122">
        <v>247</v>
      </c>
    </row>
    <row r="250" spans="3:3" x14ac:dyDescent="0.25">
      <c r="C250" s="122">
        <v>248</v>
      </c>
    </row>
    <row r="251" spans="3:3" x14ac:dyDescent="0.25">
      <c r="C251" s="122">
        <v>249</v>
      </c>
    </row>
    <row r="252" spans="3:3" x14ac:dyDescent="0.25">
      <c r="C252" s="122">
        <v>250</v>
      </c>
    </row>
    <row r="253" spans="3:3" x14ac:dyDescent="0.25">
      <c r="C253" s="122">
        <v>251</v>
      </c>
    </row>
    <row r="254" spans="3:3" x14ac:dyDescent="0.25">
      <c r="C254" s="122">
        <v>252</v>
      </c>
    </row>
    <row r="255" spans="3:3" x14ac:dyDescent="0.25">
      <c r="C255" s="122">
        <v>253</v>
      </c>
    </row>
    <row r="256" spans="3:3" x14ac:dyDescent="0.25">
      <c r="C256" s="122">
        <v>254</v>
      </c>
    </row>
    <row r="257" spans="3:3" x14ac:dyDescent="0.25">
      <c r="C257" s="122">
        <v>255</v>
      </c>
    </row>
    <row r="258" spans="3:3" x14ac:dyDescent="0.25">
      <c r="C258" s="122">
        <v>256</v>
      </c>
    </row>
    <row r="259" spans="3:3" x14ac:dyDescent="0.25">
      <c r="C259" s="122">
        <v>257</v>
      </c>
    </row>
    <row r="260" spans="3:3" x14ac:dyDescent="0.25">
      <c r="C260" s="122">
        <v>258</v>
      </c>
    </row>
    <row r="261" spans="3:3" x14ac:dyDescent="0.25">
      <c r="C261" s="122">
        <v>259</v>
      </c>
    </row>
    <row r="262" spans="3:3" x14ac:dyDescent="0.25">
      <c r="C262" s="122">
        <v>260</v>
      </c>
    </row>
    <row r="263" spans="3:3" x14ac:dyDescent="0.25">
      <c r="C263" s="122">
        <v>261</v>
      </c>
    </row>
    <row r="264" spans="3:3" x14ac:dyDescent="0.25">
      <c r="C264" s="122">
        <v>262</v>
      </c>
    </row>
    <row r="265" spans="3:3" x14ac:dyDescent="0.25">
      <c r="C265" s="122">
        <v>263</v>
      </c>
    </row>
    <row r="266" spans="3:3" x14ac:dyDescent="0.25">
      <c r="C266" s="122">
        <v>264</v>
      </c>
    </row>
    <row r="267" spans="3:3" x14ac:dyDescent="0.25">
      <c r="C267" s="122">
        <v>265</v>
      </c>
    </row>
    <row r="268" spans="3:3" x14ac:dyDescent="0.25">
      <c r="C268" s="122">
        <v>266</v>
      </c>
    </row>
    <row r="269" spans="3:3" x14ac:dyDescent="0.25">
      <c r="C269" s="122">
        <v>267</v>
      </c>
    </row>
    <row r="270" spans="3:3" x14ac:dyDescent="0.25">
      <c r="C270" s="122">
        <v>268</v>
      </c>
    </row>
    <row r="271" spans="3:3" x14ac:dyDescent="0.25">
      <c r="C271" s="122">
        <v>269</v>
      </c>
    </row>
    <row r="272" spans="3:3" x14ac:dyDescent="0.25">
      <c r="C272" s="122">
        <v>270</v>
      </c>
    </row>
    <row r="273" spans="3:3" x14ac:dyDescent="0.25">
      <c r="C273" s="122">
        <v>271</v>
      </c>
    </row>
    <row r="274" spans="3:3" x14ac:dyDescent="0.25">
      <c r="C274" s="122">
        <v>272</v>
      </c>
    </row>
    <row r="275" spans="3:3" x14ac:dyDescent="0.25">
      <c r="C275" s="122">
        <v>273</v>
      </c>
    </row>
    <row r="276" spans="3:3" x14ac:dyDescent="0.25">
      <c r="C276" s="122">
        <v>274</v>
      </c>
    </row>
  </sheetData>
  <pageMargins left="0.7" right="0.7" top="0.78740157499999996" bottom="0.78740157499999996"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7CF1A-763B-476A-9227-FC4FD8FBBD76}">
  <sheetPr>
    <tabColor rgb="FFFFC000"/>
  </sheetPr>
  <dimension ref="A1:P38"/>
  <sheetViews>
    <sheetView zoomScaleNormal="100" zoomScaleSheetLayoutView="85" zoomScalePageLayoutView="55" workbookViewId="0">
      <selection activeCell="F14" sqref="F14:F15"/>
    </sheetView>
  </sheetViews>
  <sheetFormatPr baseColWidth="10" defaultColWidth="11.42578125" defaultRowHeight="12.75" x14ac:dyDescent="0.2"/>
  <cols>
    <col min="1" max="1" width="0.85546875" style="142" customWidth="1"/>
    <col min="2" max="2" width="14.42578125" style="142" customWidth="1"/>
    <col min="3" max="3" width="2.85546875" style="142" customWidth="1"/>
    <col min="4" max="4" width="29.42578125" style="142" customWidth="1"/>
    <col min="5" max="5" width="2.7109375" style="142" customWidth="1"/>
    <col min="6" max="6" width="36.140625" style="142" customWidth="1"/>
    <col min="7" max="7" width="2.85546875" style="142" customWidth="1"/>
    <col min="8" max="8" width="36.140625" style="142" customWidth="1"/>
    <col min="9" max="9" width="5.7109375" style="142" customWidth="1"/>
    <col min="10" max="10" width="3.5703125" style="142" customWidth="1"/>
    <col min="11" max="11" width="6.28515625" style="142" customWidth="1"/>
    <col min="12" max="12" width="15.5703125" style="142" customWidth="1"/>
    <col min="13" max="14" width="15.7109375" style="142" customWidth="1"/>
    <col min="15" max="15" width="11.42578125" style="142"/>
    <col min="16" max="16" width="1.42578125" style="142" customWidth="1"/>
    <col min="17" max="16384" width="11.42578125" style="142"/>
  </cols>
  <sheetData>
    <row r="1" spans="1:16" ht="4.5" customHeight="1" thickBot="1" x14ac:dyDescent="0.25">
      <c r="A1" s="159"/>
      <c r="B1" s="158"/>
      <c r="C1" s="158"/>
      <c r="D1" s="158"/>
      <c r="E1" s="158"/>
      <c r="F1" s="158"/>
      <c r="G1" s="158"/>
      <c r="H1" s="158"/>
      <c r="I1" s="158"/>
      <c r="J1" s="158"/>
      <c r="K1" s="158"/>
      <c r="L1" s="158"/>
      <c r="M1" s="158"/>
      <c r="N1" s="158"/>
      <c r="O1" s="158"/>
      <c r="P1" s="157"/>
    </row>
    <row r="2" spans="1:16" ht="12.75" customHeight="1" x14ac:dyDescent="0.2">
      <c r="A2" s="147"/>
      <c r="B2" s="359" t="s">
        <v>284</v>
      </c>
      <c r="C2" s="360"/>
      <c r="D2" s="360"/>
      <c r="E2" s="156"/>
      <c r="F2" s="156"/>
      <c r="G2" s="156"/>
      <c r="H2" s="156"/>
      <c r="I2" s="156"/>
      <c r="J2" s="156"/>
      <c r="K2" s="156"/>
      <c r="L2" s="156"/>
      <c r="M2" s="156"/>
      <c r="N2" s="156"/>
      <c r="O2" s="156"/>
      <c r="P2" s="155"/>
    </row>
    <row r="3" spans="1:16" ht="12.75" customHeight="1" x14ac:dyDescent="0.2">
      <c r="A3" s="147"/>
      <c r="B3" s="361"/>
      <c r="C3" s="362"/>
      <c r="D3" s="362"/>
      <c r="E3" s="152"/>
      <c r="F3" s="152"/>
      <c r="G3" s="152"/>
      <c r="H3" s="152"/>
      <c r="I3" s="152"/>
      <c r="J3" s="152"/>
      <c r="K3" s="152"/>
      <c r="L3" s="152"/>
      <c r="M3" s="152"/>
      <c r="N3" s="152"/>
      <c r="O3" s="152"/>
      <c r="P3" s="150"/>
    </row>
    <row r="4" spans="1:16" x14ac:dyDescent="0.2">
      <c r="A4" s="147"/>
      <c r="B4" s="153"/>
      <c r="C4" s="152"/>
      <c r="D4" s="152"/>
      <c r="E4" s="152"/>
      <c r="F4" s="152"/>
      <c r="G4" s="152"/>
      <c r="H4" s="152"/>
      <c r="I4" s="152"/>
      <c r="J4" s="152"/>
      <c r="K4" s="152"/>
      <c r="L4" s="154"/>
      <c r="M4" s="152"/>
      <c r="N4" s="154"/>
      <c r="O4" s="152"/>
      <c r="P4" s="150"/>
    </row>
    <row r="5" spans="1:16" x14ac:dyDescent="0.2">
      <c r="A5" s="147"/>
      <c r="B5" s="153"/>
      <c r="C5" s="152"/>
      <c r="D5" s="152"/>
      <c r="E5" s="152"/>
      <c r="F5" s="152"/>
      <c r="G5" s="152"/>
      <c r="H5" s="152"/>
      <c r="I5" s="152"/>
      <c r="J5" s="152"/>
      <c r="K5" s="152"/>
      <c r="L5" s="152"/>
      <c r="M5" s="152"/>
      <c r="N5" s="152"/>
      <c r="O5" s="152"/>
      <c r="P5" s="150"/>
    </row>
    <row r="6" spans="1:16" x14ac:dyDescent="0.2">
      <c r="A6" s="147"/>
      <c r="B6" s="153"/>
      <c r="C6" s="152"/>
      <c r="D6" s="152"/>
      <c r="E6" s="152"/>
      <c r="F6" s="152"/>
      <c r="G6" s="152"/>
      <c r="H6" s="152"/>
      <c r="I6" s="152"/>
      <c r="J6" s="152"/>
      <c r="K6" s="152"/>
      <c r="L6" s="152"/>
      <c r="M6" s="152"/>
      <c r="N6" s="152"/>
      <c r="O6" s="152"/>
      <c r="P6" s="150"/>
    </row>
    <row r="7" spans="1:16" x14ac:dyDescent="0.2">
      <c r="A7" s="147"/>
      <c r="B7" s="153"/>
      <c r="C7" s="152"/>
      <c r="D7" s="152"/>
      <c r="E7" s="152"/>
      <c r="F7" s="152"/>
      <c r="G7" s="152"/>
      <c r="H7" s="152"/>
      <c r="I7" s="152"/>
      <c r="J7" s="152"/>
      <c r="K7" s="152"/>
      <c r="L7" s="151" t="s">
        <v>283</v>
      </c>
      <c r="M7" s="371"/>
      <c r="N7" s="372"/>
      <c r="O7" s="373"/>
      <c r="P7" s="150"/>
    </row>
    <row r="8" spans="1:16" ht="4.5" customHeight="1" thickBot="1" x14ac:dyDescent="0.25">
      <c r="A8" s="147"/>
      <c r="B8" s="368"/>
      <c r="C8" s="369"/>
      <c r="D8" s="369"/>
      <c r="E8" s="369"/>
      <c r="F8" s="369"/>
      <c r="G8" s="369"/>
      <c r="H8" s="369"/>
      <c r="I8" s="369"/>
      <c r="J8" s="369"/>
      <c r="K8" s="369"/>
      <c r="L8" s="369"/>
      <c r="M8" s="369"/>
      <c r="N8" s="369"/>
      <c r="O8" s="369"/>
      <c r="P8" s="370"/>
    </row>
    <row r="9" spans="1:16" ht="13.5" thickBot="1" x14ac:dyDescent="0.25">
      <c r="A9" s="147"/>
      <c r="B9" s="149" t="s">
        <v>282</v>
      </c>
      <c r="C9" s="363" t="s">
        <v>281</v>
      </c>
      <c r="D9" s="363"/>
      <c r="E9" s="363" t="s">
        <v>280</v>
      </c>
      <c r="F9" s="363"/>
      <c r="G9" s="363" t="s">
        <v>279</v>
      </c>
      <c r="H9" s="363"/>
      <c r="I9" s="363" t="s">
        <v>278</v>
      </c>
      <c r="J9" s="363"/>
      <c r="K9" s="363"/>
      <c r="L9" s="363" t="s">
        <v>277</v>
      </c>
      <c r="M9" s="363"/>
      <c r="N9" s="363"/>
      <c r="O9" s="363"/>
      <c r="P9" s="364"/>
    </row>
    <row r="10" spans="1:16" ht="6" customHeight="1" thickBot="1" x14ac:dyDescent="0.25">
      <c r="A10" s="147"/>
      <c r="B10" s="365"/>
      <c r="C10" s="366"/>
      <c r="D10" s="366"/>
      <c r="E10" s="366"/>
      <c r="F10" s="366"/>
      <c r="G10" s="366"/>
      <c r="H10" s="366"/>
      <c r="I10" s="366"/>
      <c r="J10" s="366"/>
      <c r="K10" s="366"/>
      <c r="L10" s="366"/>
      <c r="M10" s="366"/>
      <c r="N10" s="366"/>
      <c r="O10" s="366"/>
      <c r="P10" s="367"/>
    </row>
    <row r="11" spans="1:16" ht="28.5" customHeight="1" x14ac:dyDescent="0.2">
      <c r="A11" s="147"/>
      <c r="B11" s="374" t="s">
        <v>276</v>
      </c>
      <c r="C11" s="340"/>
      <c r="D11" s="347" t="s">
        <v>275</v>
      </c>
      <c r="E11" s="342"/>
      <c r="F11" s="382" t="s">
        <v>274</v>
      </c>
      <c r="G11" s="340"/>
      <c r="H11" s="347" t="s">
        <v>273</v>
      </c>
      <c r="I11" s="351"/>
      <c r="J11" s="352"/>
      <c r="K11" s="353"/>
      <c r="L11" s="376"/>
      <c r="M11" s="377"/>
      <c r="N11" s="377"/>
      <c r="O11" s="377"/>
      <c r="P11" s="378"/>
    </row>
    <row r="12" spans="1:16" ht="29.25" customHeight="1" thickBot="1" x14ac:dyDescent="0.25">
      <c r="A12" s="147"/>
      <c r="B12" s="375"/>
      <c r="C12" s="341"/>
      <c r="D12" s="348"/>
      <c r="E12" s="343"/>
      <c r="F12" s="383"/>
      <c r="G12" s="341"/>
      <c r="H12" s="348"/>
      <c r="I12" s="354"/>
      <c r="J12" s="355"/>
      <c r="K12" s="356"/>
      <c r="L12" s="379"/>
      <c r="M12" s="380"/>
      <c r="N12" s="380"/>
      <c r="O12" s="380"/>
      <c r="P12" s="381"/>
    </row>
    <row r="13" spans="1:16" ht="6" customHeight="1" thickBot="1" x14ac:dyDescent="0.25">
      <c r="A13" s="147"/>
      <c r="B13" s="344">
        <v>3</v>
      </c>
      <c r="C13" s="345"/>
      <c r="D13" s="345"/>
      <c r="E13" s="345"/>
      <c r="F13" s="345"/>
      <c r="G13" s="345"/>
      <c r="H13" s="345"/>
      <c r="I13" s="345"/>
      <c r="J13" s="345"/>
      <c r="K13" s="345"/>
      <c r="L13" s="345"/>
      <c r="M13" s="345"/>
      <c r="N13" s="345"/>
      <c r="O13" s="345"/>
      <c r="P13" s="346"/>
    </row>
    <row r="14" spans="1:16" ht="25.5" customHeight="1" x14ac:dyDescent="0.2">
      <c r="A14" s="147"/>
      <c r="B14" s="357" t="s">
        <v>272</v>
      </c>
      <c r="C14" s="340"/>
      <c r="D14" s="347" t="s">
        <v>271</v>
      </c>
      <c r="E14" s="342"/>
      <c r="F14" s="349" t="s">
        <v>270</v>
      </c>
      <c r="G14" s="340"/>
      <c r="H14" s="347" t="s">
        <v>269</v>
      </c>
      <c r="I14" s="351"/>
      <c r="J14" s="352"/>
      <c r="K14" s="353"/>
      <c r="L14" s="376"/>
      <c r="M14" s="377"/>
      <c r="N14" s="377"/>
      <c r="O14" s="377"/>
      <c r="P14" s="378"/>
    </row>
    <row r="15" spans="1:16" ht="25.5" customHeight="1" thickBot="1" x14ac:dyDescent="0.25">
      <c r="A15" s="147"/>
      <c r="B15" s="358"/>
      <c r="C15" s="341"/>
      <c r="D15" s="348"/>
      <c r="E15" s="343"/>
      <c r="F15" s="350"/>
      <c r="G15" s="341"/>
      <c r="H15" s="348"/>
      <c r="I15" s="354"/>
      <c r="J15" s="355"/>
      <c r="K15" s="356"/>
      <c r="L15" s="379"/>
      <c r="M15" s="380"/>
      <c r="N15" s="380"/>
      <c r="O15" s="380"/>
      <c r="P15" s="381"/>
    </row>
    <row r="16" spans="1:16" ht="6" customHeight="1" thickBot="1" x14ac:dyDescent="0.25">
      <c r="A16" s="147"/>
      <c r="B16" s="344"/>
      <c r="C16" s="345"/>
      <c r="D16" s="345"/>
      <c r="E16" s="345"/>
      <c r="F16" s="345"/>
      <c r="G16" s="345"/>
      <c r="H16" s="345"/>
      <c r="I16" s="345"/>
      <c r="J16" s="345"/>
      <c r="K16" s="345"/>
      <c r="L16" s="345"/>
      <c r="M16" s="345"/>
      <c r="N16" s="345"/>
      <c r="O16" s="345"/>
      <c r="P16" s="346"/>
    </row>
    <row r="17" spans="1:16" ht="29.25" customHeight="1" x14ac:dyDescent="0.2">
      <c r="A17" s="147"/>
      <c r="B17" s="357" t="s">
        <v>268</v>
      </c>
      <c r="C17" s="340"/>
      <c r="D17" s="347" t="s">
        <v>264</v>
      </c>
      <c r="E17" s="342"/>
      <c r="F17" s="349" t="s">
        <v>267</v>
      </c>
      <c r="G17" s="340"/>
      <c r="H17" s="347" t="s">
        <v>266</v>
      </c>
      <c r="I17" s="351"/>
      <c r="J17" s="352"/>
      <c r="K17" s="353"/>
      <c r="L17" s="376"/>
      <c r="M17" s="377"/>
      <c r="N17" s="377"/>
      <c r="O17" s="377"/>
      <c r="P17" s="378"/>
    </row>
    <row r="18" spans="1:16" ht="28.5" customHeight="1" thickBot="1" x14ac:dyDescent="0.25">
      <c r="A18" s="147"/>
      <c r="B18" s="358"/>
      <c r="C18" s="341"/>
      <c r="D18" s="348"/>
      <c r="E18" s="343"/>
      <c r="F18" s="350"/>
      <c r="G18" s="341"/>
      <c r="H18" s="348"/>
      <c r="I18" s="354"/>
      <c r="J18" s="355"/>
      <c r="K18" s="356"/>
      <c r="L18" s="379"/>
      <c r="M18" s="380"/>
      <c r="N18" s="380"/>
      <c r="O18" s="380"/>
      <c r="P18" s="381"/>
    </row>
    <row r="19" spans="1:16" ht="6" customHeight="1" thickBot="1" x14ac:dyDescent="0.25">
      <c r="A19" s="147"/>
      <c r="B19" s="344"/>
      <c r="C19" s="345"/>
      <c r="D19" s="345"/>
      <c r="E19" s="345"/>
      <c r="F19" s="345"/>
      <c r="G19" s="345"/>
      <c r="H19" s="345"/>
      <c r="I19" s="345"/>
      <c r="J19" s="345"/>
      <c r="K19" s="345"/>
      <c r="L19" s="345"/>
      <c r="M19" s="345"/>
      <c r="N19" s="345"/>
      <c r="O19" s="345"/>
      <c r="P19" s="346"/>
    </row>
    <row r="20" spans="1:16" ht="29.25" customHeight="1" x14ac:dyDescent="0.2">
      <c r="A20" s="147"/>
      <c r="B20" s="357" t="s">
        <v>265</v>
      </c>
      <c r="C20" s="340"/>
      <c r="D20" s="347" t="s">
        <v>264</v>
      </c>
      <c r="E20" s="342"/>
      <c r="F20" s="349" t="s">
        <v>263</v>
      </c>
      <c r="G20" s="340"/>
      <c r="H20" s="347" t="s">
        <v>262</v>
      </c>
      <c r="I20" s="351"/>
      <c r="J20" s="352"/>
      <c r="K20" s="353"/>
      <c r="L20" s="376"/>
      <c r="M20" s="377"/>
      <c r="N20" s="377"/>
      <c r="O20" s="377"/>
      <c r="P20" s="148"/>
    </row>
    <row r="21" spans="1:16" ht="28.5" customHeight="1" thickBot="1" x14ac:dyDescent="0.25">
      <c r="A21" s="147"/>
      <c r="B21" s="358"/>
      <c r="C21" s="341"/>
      <c r="D21" s="348"/>
      <c r="E21" s="343"/>
      <c r="F21" s="350"/>
      <c r="G21" s="341"/>
      <c r="H21" s="348"/>
      <c r="I21" s="354"/>
      <c r="J21" s="355"/>
      <c r="K21" s="356"/>
      <c r="L21" s="379"/>
      <c r="M21" s="380"/>
      <c r="N21" s="380"/>
      <c r="O21" s="380"/>
      <c r="P21" s="148"/>
    </row>
    <row r="22" spans="1:16" ht="6" customHeight="1" thickBot="1" x14ac:dyDescent="0.25">
      <c r="A22" s="147"/>
      <c r="B22" s="344"/>
      <c r="C22" s="345"/>
      <c r="D22" s="345"/>
      <c r="E22" s="345"/>
      <c r="F22" s="345"/>
      <c r="G22" s="345"/>
      <c r="H22" s="345"/>
      <c r="I22" s="345"/>
      <c r="J22" s="345"/>
      <c r="K22" s="345"/>
      <c r="L22" s="345"/>
      <c r="M22" s="345"/>
      <c r="N22" s="345"/>
      <c r="O22" s="345"/>
      <c r="P22" s="346"/>
    </row>
    <row r="23" spans="1:16" ht="29.25" customHeight="1" x14ac:dyDescent="0.2">
      <c r="A23" s="147"/>
      <c r="B23" s="357" t="s">
        <v>261</v>
      </c>
      <c r="C23" s="340"/>
      <c r="D23" s="347" t="s">
        <v>260</v>
      </c>
      <c r="E23" s="342"/>
      <c r="F23" s="349" t="s">
        <v>259</v>
      </c>
      <c r="G23" s="340"/>
      <c r="H23" s="347" t="s">
        <v>255</v>
      </c>
      <c r="I23" s="351"/>
      <c r="J23" s="352"/>
      <c r="K23" s="353"/>
      <c r="L23" s="376"/>
      <c r="M23" s="377"/>
      <c r="N23" s="377"/>
      <c r="O23" s="377"/>
      <c r="P23" s="378"/>
    </row>
    <row r="24" spans="1:16" ht="28.5" customHeight="1" thickBot="1" x14ac:dyDescent="0.25">
      <c r="A24" s="147"/>
      <c r="B24" s="358"/>
      <c r="C24" s="341"/>
      <c r="D24" s="348"/>
      <c r="E24" s="343"/>
      <c r="F24" s="350"/>
      <c r="G24" s="341"/>
      <c r="H24" s="348"/>
      <c r="I24" s="354"/>
      <c r="J24" s="355"/>
      <c r="K24" s="356"/>
      <c r="L24" s="379"/>
      <c r="M24" s="380"/>
      <c r="N24" s="380"/>
      <c r="O24" s="380"/>
      <c r="P24" s="381"/>
    </row>
    <row r="25" spans="1:16" ht="6" customHeight="1" thickBot="1" x14ac:dyDescent="0.25">
      <c r="A25" s="147"/>
      <c r="B25" s="344"/>
      <c r="C25" s="345"/>
      <c r="D25" s="345"/>
      <c r="E25" s="345"/>
      <c r="F25" s="345"/>
      <c r="G25" s="345"/>
      <c r="H25" s="345"/>
      <c r="I25" s="345"/>
      <c r="J25" s="345"/>
      <c r="K25" s="345"/>
      <c r="L25" s="345"/>
      <c r="M25" s="345"/>
      <c r="N25" s="345"/>
      <c r="O25" s="345"/>
      <c r="P25" s="346"/>
    </row>
    <row r="26" spans="1:16" ht="31.5" customHeight="1" x14ac:dyDescent="0.2">
      <c r="A26" s="147"/>
      <c r="B26" s="357" t="s">
        <v>258</v>
      </c>
      <c r="C26" s="340"/>
      <c r="D26" s="347" t="s">
        <v>257</v>
      </c>
      <c r="E26" s="342"/>
      <c r="F26" s="349" t="s">
        <v>256</v>
      </c>
      <c r="G26" s="340"/>
      <c r="H26" s="347" t="s">
        <v>255</v>
      </c>
      <c r="I26" s="351"/>
      <c r="J26" s="352"/>
      <c r="K26" s="353"/>
      <c r="L26" s="376"/>
      <c r="M26" s="377"/>
      <c r="N26" s="377"/>
      <c r="O26" s="377"/>
      <c r="P26" s="378"/>
    </row>
    <row r="27" spans="1:16" ht="30.75" customHeight="1" thickBot="1" x14ac:dyDescent="0.25">
      <c r="A27" s="147"/>
      <c r="B27" s="358"/>
      <c r="C27" s="341"/>
      <c r="D27" s="348"/>
      <c r="E27" s="343"/>
      <c r="F27" s="350"/>
      <c r="G27" s="341"/>
      <c r="H27" s="348"/>
      <c r="I27" s="354"/>
      <c r="J27" s="355"/>
      <c r="K27" s="356"/>
      <c r="L27" s="379"/>
      <c r="M27" s="380"/>
      <c r="N27" s="380"/>
      <c r="O27" s="380"/>
      <c r="P27" s="381"/>
    </row>
    <row r="28" spans="1:16" ht="6" customHeight="1" thickBot="1" x14ac:dyDescent="0.25">
      <c r="A28" s="147"/>
      <c r="B28" s="384"/>
      <c r="C28" s="345"/>
      <c r="D28" s="345"/>
      <c r="E28" s="345"/>
      <c r="F28" s="345"/>
      <c r="G28" s="345"/>
      <c r="H28" s="345"/>
      <c r="I28" s="345"/>
      <c r="J28" s="345"/>
      <c r="K28" s="345"/>
      <c r="L28" s="345"/>
      <c r="M28" s="345"/>
      <c r="N28" s="345"/>
      <c r="O28" s="345"/>
      <c r="P28" s="346"/>
    </row>
    <row r="29" spans="1:16" ht="25.5" customHeight="1" x14ac:dyDescent="0.2">
      <c r="A29" s="147"/>
      <c r="B29" s="357" t="s">
        <v>72</v>
      </c>
      <c r="C29" s="340"/>
      <c r="D29" s="347" t="s">
        <v>254</v>
      </c>
      <c r="E29" s="342"/>
      <c r="F29" s="347" t="s">
        <v>253</v>
      </c>
      <c r="G29" s="340"/>
      <c r="H29" s="347" t="s">
        <v>252</v>
      </c>
      <c r="I29" s="351"/>
      <c r="J29" s="352"/>
      <c r="K29" s="353"/>
      <c r="L29" s="376"/>
      <c r="M29" s="377"/>
      <c r="N29" s="377"/>
      <c r="O29" s="377"/>
      <c r="P29" s="378"/>
    </row>
    <row r="30" spans="1:16" ht="25.5" customHeight="1" thickBot="1" x14ac:dyDescent="0.25">
      <c r="A30" s="147"/>
      <c r="B30" s="358"/>
      <c r="C30" s="341"/>
      <c r="D30" s="348"/>
      <c r="E30" s="343"/>
      <c r="F30" s="385"/>
      <c r="G30" s="341"/>
      <c r="H30" s="348"/>
      <c r="I30" s="354"/>
      <c r="J30" s="355"/>
      <c r="K30" s="356"/>
      <c r="L30" s="379"/>
      <c r="M30" s="380"/>
      <c r="N30" s="380"/>
      <c r="O30" s="380"/>
      <c r="P30" s="381"/>
    </row>
    <row r="31" spans="1:16" ht="6" customHeight="1" thickBot="1" x14ac:dyDescent="0.25">
      <c r="A31" s="147"/>
      <c r="B31" s="387"/>
      <c r="C31" s="345"/>
      <c r="D31" s="345"/>
      <c r="E31" s="345"/>
      <c r="F31" s="345"/>
      <c r="G31" s="345"/>
      <c r="H31" s="345"/>
      <c r="I31" s="345"/>
      <c r="J31" s="345"/>
      <c r="K31" s="345"/>
      <c r="L31" s="345"/>
      <c r="M31" s="345"/>
      <c r="N31" s="345"/>
      <c r="O31" s="345"/>
      <c r="P31" s="346"/>
    </row>
    <row r="32" spans="1:16" ht="28.5" customHeight="1" x14ac:dyDescent="0.2">
      <c r="A32" s="147"/>
      <c r="B32" s="388" t="s">
        <v>251</v>
      </c>
      <c r="C32" s="342"/>
      <c r="D32" s="347" t="s">
        <v>250</v>
      </c>
      <c r="E32" s="342"/>
      <c r="F32" s="349" t="s">
        <v>249</v>
      </c>
      <c r="G32" s="386"/>
      <c r="H32" s="347" t="s">
        <v>248</v>
      </c>
      <c r="I32" s="351"/>
      <c r="J32" s="352"/>
      <c r="K32" s="353"/>
      <c r="L32" s="376"/>
      <c r="M32" s="377"/>
      <c r="N32" s="377"/>
      <c r="O32" s="377"/>
      <c r="P32" s="378"/>
    </row>
    <row r="33" spans="1:16" ht="28.5" customHeight="1" thickBot="1" x14ac:dyDescent="0.25">
      <c r="A33" s="146"/>
      <c r="B33" s="389"/>
      <c r="C33" s="343"/>
      <c r="D33" s="348"/>
      <c r="E33" s="343"/>
      <c r="F33" s="350"/>
      <c r="G33" s="341"/>
      <c r="H33" s="348"/>
      <c r="I33" s="354"/>
      <c r="J33" s="355"/>
      <c r="K33" s="356"/>
      <c r="L33" s="379"/>
      <c r="M33" s="380"/>
      <c r="N33" s="380"/>
      <c r="O33" s="380"/>
      <c r="P33" s="381"/>
    </row>
    <row r="34" spans="1:16" ht="6" customHeight="1" thickBot="1" x14ac:dyDescent="0.25"/>
    <row r="35" spans="1:16" x14ac:dyDescent="0.2">
      <c r="B35" s="142" t="s">
        <v>247</v>
      </c>
      <c r="D35" s="142" t="s">
        <v>246</v>
      </c>
      <c r="F35" s="142" t="s">
        <v>245</v>
      </c>
      <c r="I35" s="392">
        <f>SUM(I11,I14,I17,I20,I23,I26,I29,I32)</f>
        <v>0</v>
      </c>
      <c r="J35" s="390" t="s">
        <v>244</v>
      </c>
      <c r="K35" s="394">
        <v>30</v>
      </c>
    </row>
    <row r="36" spans="1:16" ht="22.5" customHeight="1" thickBot="1" x14ac:dyDescent="0.25">
      <c r="B36" s="145"/>
      <c r="D36" s="145"/>
      <c r="F36" s="145"/>
      <c r="I36" s="393"/>
      <c r="J36" s="391"/>
      <c r="K36" s="395"/>
    </row>
    <row r="37" spans="1:16" ht="24" customHeight="1" x14ac:dyDescent="0.2">
      <c r="D37" s="143"/>
      <c r="F37" s="143"/>
      <c r="I37" s="144"/>
      <c r="J37" s="144"/>
      <c r="K37" s="144"/>
    </row>
    <row r="38" spans="1:16" ht="23.25" customHeight="1" x14ac:dyDescent="0.2">
      <c r="D38" s="143"/>
      <c r="F38" s="143"/>
    </row>
  </sheetData>
  <mergeCells count="91">
    <mergeCell ref="J35:J36"/>
    <mergeCell ref="I35:I36"/>
    <mergeCell ref="K35:K36"/>
    <mergeCell ref="L32:P33"/>
    <mergeCell ref="I32:K33"/>
    <mergeCell ref="I29:K30"/>
    <mergeCell ref="L29:P30"/>
    <mergeCell ref="L26:P27"/>
    <mergeCell ref="L23:P24"/>
    <mergeCell ref="L20:O21"/>
    <mergeCell ref="G32:G33"/>
    <mergeCell ref="G29:G30"/>
    <mergeCell ref="G26:G27"/>
    <mergeCell ref="G23:G24"/>
    <mergeCell ref="G20:G21"/>
    <mergeCell ref="B31:P31"/>
    <mergeCell ref="B32:B33"/>
    <mergeCell ref="C32:C33"/>
    <mergeCell ref="H32:H33"/>
    <mergeCell ref="H29:H30"/>
    <mergeCell ref="H26:H27"/>
    <mergeCell ref="D32:D33"/>
    <mergeCell ref="D26:D27"/>
    <mergeCell ref="I20:K21"/>
    <mergeCell ref="I23:K24"/>
    <mergeCell ref="I26:K27"/>
    <mergeCell ref="H23:H24"/>
    <mergeCell ref="E20:E21"/>
    <mergeCell ref="H20:H21"/>
    <mergeCell ref="E32:E33"/>
    <mergeCell ref="E29:E30"/>
    <mergeCell ref="E26:E27"/>
    <mergeCell ref="E23:E24"/>
    <mergeCell ref="B22:P22"/>
    <mergeCell ref="B25:P25"/>
    <mergeCell ref="B28:P28"/>
    <mergeCell ref="B23:B24"/>
    <mergeCell ref="B26:B27"/>
    <mergeCell ref="B29:B30"/>
    <mergeCell ref="C23:C24"/>
    <mergeCell ref="C26:C27"/>
    <mergeCell ref="F32:F33"/>
    <mergeCell ref="C29:C30"/>
    <mergeCell ref="F26:F27"/>
    <mergeCell ref="F23:F24"/>
    <mergeCell ref="D23:D24"/>
    <mergeCell ref="E11:E12"/>
    <mergeCell ref="D29:D30"/>
    <mergeCell ref="F29:F30"/>
    <mergeCell ref="F20:F21"/>
    <mergeCell ref="B11:B12"/>
    <mergeCell ref="B14:B15"/>
    <mergeCell ref="L14:P15"/>
    <mergeCell ref="L11:P12"/>
    <mergeCell ref="C11:C12"/>
    <mergeCell ref="I11:K12"/>
    <mergeCell ref="I14:K15"/>
    <mergeCell ref="D11:D12"/>
    <mergeCell ref="D14:D15"/>
    <mergeCell ref="G11:G12"/>
    <mergeCell ref="F14:F15"/>
    <mergeCell ref="F11:F12"/>
    <mergeCell ref="B13:P13"/>
    <mergeCell ref="H14:H15"/>
    <mergeCell ref="H11:H12"/>
    <mergeCell ref="C14:C15"/>
    <mergeCell ref="B2:D3"/>
    <mergeCell ref="I9:K9"/>
    <mergeCell ref="L9:P9"/>
    <mergeCell ref="B10:P10"/>
    <mergeCell ref="B8:P8"/>
    <mergeCell ref="M7:O7"/>
    <mergeCell ref="G9:H9"/>
    <mergeCell ref="C9:D9"/>
    <mergeCell ref="E9:F9"/>
    <mergeCell ref="G14:G15"/>
    <mergeCell ref="E14:E15"/>
    <mergeCell ref="C17:C18"/>
    <mergeCell ref="C20:C21"/>
    <mergeCell ref="B16:P16"/>
    <mergeCell ref="B19:P19"/>
    <mergeCell ref="E17:E18"/>
    <mergeCell ref="H17:H18"/>
    <mergeCell ref="F17:F18"/>
    <mergeCell ref="G17:G18"/>
    <mergeCell ref="I17:K18"/>
    <mergeCell ref="D17:D18"/>
    <mergeCell ref="D20:D21"/>
    <mergeCell ref="B17:B18"/>
    <mergeCell ref="B20:B21"/>
    <mergeCell ref="L17:P18"/>
  </mergeCells>
  <pageMargins left="0.7" right="0.7" top="0.78740157499999996" bottom="0.78740157499999996" header="0.3" footer="0.3"/>
  <pageSetup paperSize="9" scale="66"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Lieferanten_A4</vt:lpstr>
      <vt:lpstr>Beispiel #1</vt:lpstr>
      <vt:lpstr>Beispiel #2</vt:lpstr>
      <vt:lpstr>Beispiel #3</vt:lpstr>
      <vt:lpstr>Language</vt:lpstr>
      <vt:lpstr>#Self-Assessment_A4</vt:lpstr>
      <vt:lpstr>'#Self-Assessment_A4'!Druckbereich</vt:lpstr>
      <vt:lpstr>'Beispiel #1'!Druckbereich</vt:lpstr>
      <vt:lpstr>'Beispiel #2'!Druckbereich</vt:lpstr>
      <vt:lpstr>'Beispiel #3'!Druckbereich</vt:lpstr>
      <vt:lpstr>Lieferanten_A4!Druckbereich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Ruchatz</dc:creator>
  <cp:lastModifiedBy>Marvin Pliet</cp:lastModifiedBy>
  <cp:lastPrinted>2023-04-17T11:35:19Z</cp:lastPrinted>
  <dcterms:created xsi:type="dcterms:W3CDTF">2021-09-06T09:54:46Z</dcterms:created>
  <dcterms:modified xsi:type="dcterms:W3CDTF">2023-04-17T12:04:44Z</dcterms:modified>
</cp:coreProperties>
</file>